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Prestação de contas\HECAD\"/>
    </mc:Choice>
  </mc:AlternateContent>
  <xr:revisionPtr revIDLastSave="0" documentId="13_ncr:1_{90146D4E-2C5F-40EC-B2C4-3CD8A7C8D7E1}" xr6:coauthVersionLast="47" xr6:coauthVersionMax="47" xr10:uidLastSave="{00000000-0000-0000-0000-000000000000}"/>
  <bookViews>
    <workbookView xWindow="28680" yWindow="-120" windowWidth="24240" windowHeight="13290" activeTab="1" xr2:uid="{00000000-000D-0000-FFFF-FFFF00000000}"/>
  </bookViews>
  <sheets>
    <sheet name="Produção" sheetId="29" r:id="rId1"/>
    <sheet name="Indicadores de Desempenho" sheetId="30" r:id="rId2"/>
    <sheet name="Indicadores e Metas de Qualidad" sheetId="1" state="hidden" r:id="rId3"/>
    <sheet name="TMP_UTIs Brasil" sheetId="2" state="hidden" r:id="rId4"/>
  </sheets>
  <externalReferences>
    <externalReference r:id="rId5"/>
  </externalReferences>
  <definedNames>
    <definedName name="_xlnm.Print_Area" localSheetId="1">'Indicadores de Desempenho'!$B$2:$D$68</definedName>
    <definedName name="_xlnm.Print_Area" localSheetId="0">Produção!$B$1:$D$142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30" l="1"/>
  <c r="D44" i="30"/>
  <c r="D41" i="30"/>
  <c r="D38" i="30"/>
  <c r="D35" i="30"/>
  <c r="D29" i="30"/>
  <c r="D28" i="30"/>
  <c r="D26" i="30" s="1"/>
  <c r="D23" i="30"/>
  <c r="D17" i="30"/>
  <c r="D16" i="30"/>
  <c r="D14" i="30" s="1"/>
  <c r="D10" i="30"/>
  <c r="D7" i="30"/>
  <c r="D6" i="30"/>
  <c r="D9" i="30" s="1"/>
  <c r="D8" i="30" s="1"/>
  <c r="D5" i="30"/>
  <c r="D12" i="30" s="1"/>
  <c r="C123" i="29"/>
  <c r="C124" i="29" s="1"/>
  <c r="D98" i="29"/>
  <c r="D13" i="30" l="1"/>
  <c r="D11" i="30"/>
  <c r="C81" i="29"/>
  <c r="C58" i="29"/>
  <c r="D44" i="29"/>
  <c r="C44" i="29"/>
  <c r="C113" i="29" l="1"/>
  <c r="C30" i="29"/>
  <c r="C21" i="29"/>
  <c r="C23" i="29" s="1"/>
  <c r="C15" i="29"/>
  <c r="D107" i="29" l="1"/>
  <c r="D28" i="29" s="1"/>
  <c r="D30" i="29" l="1"/>
  <c r="D7" i="29" s="1"/>
  <c r="D15" i="29"/>
  <c r="D5" i="29" l="1"/>
  <c r="D21" i="29" l="1"/>
  <c r="D6" i="29" s="1"/>
  <c r="D8" i="29" l="1"/>
  <c r="D23" i="29" l="1"/>
  <c r="D41" i="1" l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L60" i="1" l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</calcChain>
</file>

<file path=xl/sharedStrings.xml><?xml version="1.0" encoding="utf-8"?>
<sst xmlns="http://schemas.openxmlformats.org/spreadsheetml/2006/main" count="340" uniqueCount="252">
  <si>
    <t>Fórmula: [Total de Pacientes dia no período / Total de leitos operacionais dia do período] x 100</t>
  </si>
  <si>
    <t>http://www.utisbrasileiras.com.br/uti-adulto/evolucao-do-smr-e-do-sru-hospitalar/</t>
  </si>
  <si>
    <t>TMP</t>
  </si>
  <si>
    <t>Evolução da TMP (SMR) e da TURP (SRU) Hospitalares</t>
  </si>
  <si>
    <t>Total Pacientes dia no período</t>
  </si>
  <si>
    <t>Total de leitos operacionais dia do período</t>
  </si>
  <si>
    <t>Taxa de ocupação</t>
  </si>
  <si>
    <t>Dias do mês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</si>
  <si>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</si>
  <si>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</si>
  <si>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</si>
  <si>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</si>
  <si>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</si>
  <si>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</si>
  <si>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</si>
  <si>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</si>
  <si>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</si>
  <si>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Total</t>
  </si>
  <si>
    <t>Mês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</si>
  <si>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</si>
  <si>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</si>
  <si>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</si>
  <si>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Análise gerencial</t>
  </si>
  <si>
    <t>Com esse indicador, é possível conhecer o tipo de leito mais usado, a faixa etária desses usuários, características do seu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</si>
  <si>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</si>
  <si>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</si>
  <si>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</si>
  <si>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</si>
  <si>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</si>
  <si>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</si>
  <si>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</si>
  <si>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Tempo médio de permanência = (pacientes que deramentrada por dia, em determinado período / saídas nessemesmo período) x 100</t>
  </si>
  <si>
    <t>Já para hospitais de longa permanência, usa-se: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</si>
  <si>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</si>
  <si>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</si>
  <si>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</si>
  <si>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a) Taxa de Ocupação Hospitalar</t>
  </si>
  <si>
    <t>b) Média de Permanência Hospitalar (dias)</t>
  </si>
  <si>
    <t>c) Percentual de investigação da gravidade de reações adversas a medicamentos (Farmacovigilância)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</si>
  <si>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</si>
  <si>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</si>
  <si>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</si>
  <si>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Fórmula: [Nº de pacientes com RAM avaliada quanto à gravidade/ Nº total de pacientes com RAM] x 100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</si>
  <si>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</si>
  <si>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</si>
  <si>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</si>
  <si>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CONTRATO DE GESTÃO 045/2021</t>
  </si>
  <si>
    <t>Semicríticos</t>
  </si>
  <si>
    <t>Críticos</t>
  </si>
  <si>
    <t>Total Geral</t>
  </si>
  <si>
    <t>Fonte: Relatórios gerenciais HCAMP</t>
  </si>
  <si>
    <t>Tomografia</t>
  </si>
  <si>
    <t>Eletrocardiograma</t>
  </si>
  <si>
    <t>Taxa de Ocupação Hospitalar</t>
  </si>
  <si>
    <t>Média de Permanência Hospitalar (Dias)</t>
  </si>
  <si>
    <t>Percentual de Investigação da Gravidade</t>
  </si>
  <si>
    <t>Quadro 3. Indicadores de Desempenho do HCAMP Goiânia</t>
  </si>
  <si>
    <t>Indicadores de Desempenho</t>
  </si>
  <si>
    <t>&gt; 85%</t>
  </si>
  <si>
    <t>&lt; 7 dias</t>
  </si>
  <si>
    <t>&gt; 95%</t>
  </si>
  <si>
    <t>Unidade de Internação</t>
  </si>
  <si>
    <t>Julho</t>
  </si>
  <si>
    <t xml:space="preserve"> Agosto</t>
  </si>
  <si>
    <t>Setembro</t>
  </si>
  <si>
    <t>Média do Período</t>
  </si>
  <si>
    <t xml:space="preserve"> Outubro</t>
  </si>
  <si>
    <t>Novembro</t>
  </si>
  <si>
    <t>Dezembro</t>
  </si>
  <si>
    <t>Geral</t>
  </si>
  <si>
    <t xml:space="preserve">Total Pacientes dia </t>
  </si>
  <si>
    <t>Taxa de Ocupação</t>
  </si>
  <si>
    <t xml:space="preserve">Total de  Leitos Operacionais dia </t>
  </si>
  <si>
    <t xml:space="preserve">Total de Leitos Operacionais dia </t>
  </si>
  <si>
    <t>GERAL</t>
  </si>
  <si>
    <t>Janeiro</t>
  </si>
  <si>
    <t>Fevereiro</t>
  </si>
  <si>
    <t>Março</t>
  </si>
  <si>
    <t>Abril</t>
  </si>
  <si>
    <t>Maio</t>
  </si>
  <si>
    <t>Junho</t>
  </si>
  <si>
    <t>TAXA DE OCUPAÇÃO HOSPITALAR 2º TRIMESTRE</t>
  </si>
  <si>
    <t>TAXA DE OCUPAÇÃO HOSPITALAR  1º TRIMESTRE</t>
  </si>
  <si>
    <t>TAXA DE OCUPAÇÃO HOSPITALAR 3º TRIMESTRE</t>
  </si>
  <si>
    <t>TAXA DE OCUPAÇÃO HOSPITALAR 4º TRIMESTRE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</si>
  <si>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</si>
  <si>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</si>
  <si>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</si>
  <si>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</si>
  <si>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soma dos dias de internação de cada paciente no período / número de pacientes no mesmo período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</si>
  <si>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</si>
  <si>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</si>
  <si>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</si>
  <si>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</si>
  <si>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</si>
  <si>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</si>
  <si>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</si>
  <si>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</si>
  <si>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</si>
  <si>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</si>
  <si>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</si>
  <si>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</si>
  <si>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</si>
  <si>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</si>
  <si>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</si>
  <si>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</si>
  <si>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</si>
  <si>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</si>
  <si>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Clínica Pediátrica</t>
  </si>
  <si>
    <t>Clínica Pediátrica Crônica</t>
  </si>
  <si>
    <t>LINHA DE CONTRATAÇÕES</t>
  </si>
  <si>
    <t>Cirurgias Programadas</t>
  </si>
  <si>
    <t>Atendimento Ambulatorial</t>
  </si>
  <si>
    <t>Saídas Hospitalares por Clínica de Internação</t>
  </si>
  <si>
    <t xml:space="preserve"> Clínica Cirúrgica Pediátrica</t>
  </si>
  <si>
    <t xml:space="preserve"> Cirurgias Eletivas</t>
  </si>
  <si>
    <t xml:space="preserve">Consultas Ambulatoriais </t>
  </si>
  <si>
    <t>Consultas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</si>
  <si>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</si>
  <si>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</si>
  <si>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</si>
  <si>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</si>
  <si>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</si>
  <si>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</si>
  <si>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</si>
  <si>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</si>
  <si>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≤ 5%</t>
  </si>
  <si>
    <t>≥ 70%</t>
  </si>
  <si>
    <t>&lt; 5%</t>
  </si>
  <si>
    <t>≥ 95%</t>
  </si>
  <si>
    <t>Atendimento de Urgência e Emergência</t>
  </si>
  <si>
    <t>Atendimentos</t>
  </si>
  <si>
    <t>Total de Pacientes referenciados</t>
  </si>
  <si>
    <t xml:space="preserve">Atendimento Ambulatorial </t>
  </si>
  <si>
    <t xml:space="preserve">Acolhimento, Avaliação e Classificação de Risco </t>
  </si>
  <si>
    <t>AACR</t>
  </si>
  <si>
    <t xml:space="preserve">EXAMES </t>
  </si>
  <si>
    <t>Consultas  Médicas Por Especialidade</t>
  </si>
  <si>
    <t>Especialidade Médicas</t>
  </si>
  <si>
    <t xml:space="preserve">INDICADORES DE DESEMPENHO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</si>
  <si>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</si>
  <si>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</si>
  <si>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</si>
  <si>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</si>
  <si>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</si>
  <si>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</si>
  <si>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</si>
  <si>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</si>
  <si>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</si>
  <si>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</si>
  <si>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</si>
  <si>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</si>
  <si>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</si>
  <si>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</si>
  <si>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</si>
  <si>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</si>
  <si>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</si>
  <si>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7. Percentual de Suspensão de Cirurgias Programadas por Condições Operacionais (causas relacionadas a organização da unidade)</t>
  </si>
  <si>
    <t>Nº de cirurgias programadas suspensas</t>
  </si>
  <si>
    <t>Nº de cirurgias programadas (mapa cirúrgico)</t>
  </si>
  <si>
    <t>Nº de exames de imagem entregues em até 10 dias</t>
  </si>
  <si>
    <t>HECAD</t>
  </si>
  <si>
    <t>Dermatologia</t>
  </si>
  <si>
    <t>Vascular</t>
  </si>
  <si>
    <t xml:space="preserve">4. Taxa de Readmissão em UTI (48 horas) </t>
  </si>
  <si>
    <t>5. Taxa de Readmissão Hospitalar (em até 29 dias)</t>
  </si>
  <si>
    <t>Cirurgia de Urgência/Emergência</t>
  </si>
  <si>
    <t>Total Cirurgias Eletivas + Urgência/Emergência</t>
  </si>
  <si>
    <t>Internação Hospitalares</t>
  </si>
  <si>
    <t>-</t>
  </si>
  <si>
    <t>SADT Externo (Ofertado)</t>
  </si>
  <si>
    <t>SADT Externo (Realizado)</t>
  </si>
  <si>
    <t>Cardiologia Clínica</t>
  </si>
  <si>
    <t>Procedimentos Ambulatoriais</t>
  </si>
  <si>
    <t>Raio-X</t>
  </si>
  <si>
    <t>SADT Interno (Realizado)</t>
  </si>
  <si>
    <t>Serviço</t>
  </si>
  <si>
    <t>Cirurgia Plástica</t>
  </si>
  <si>
    <t>Pediatria</t>
  </si>
  <si>
    <t>Hebiatria</t>
  </si>
  <si>
    <t>Ginecologia (infantil-puberal)</t>
  </si>
  <si>
    <t>Hospital Estadual da Criança e do Adolescente (HECAD) - Integrado por Pronto Atendimento Infantil Estadual (PAI)</t>
  </si>
  <si>
    <t>AACR - Branco</t>
  </si>
  <si>
    <t>Total de exames de imagem realizados no período mutiplicado (exames externos)</t>
  </si>
  <si>
    <t>Meta/Mensal</t>
  </si>
  <si>
    <t>*NTMC</t>
  </si>
  <si>
    <t>*Em Apuração</t>
  </si>
  <si>
    <t>DIVINO RONNY REZENDE JÚNIOR</t>
  </si>
  <si>
    <t>Diretor Geral</t>
  </si>
  <si>
    <t>Produção Setembro/24</t>
  </si>
  <si>
    <t xml:space="preserve">Cirurgia Eletiva Hospitalar de Alto Giro </t>
  </si>
  <si>
    <t>Cirurgia Eletiva Hospitalar de Média ou Alta Complexidade</t>
  </si>
  <si>
    <t>Cirurgia CERFIS</t>
  </si>
  <si>
    <t>Ecocardiograma Transtorácico</t>
  </si>
  <si>
    <t>Eletroencefalograma</t>
  </si>
  <si>
    <t xml:space="preserve">Análises Clínicas </t>
  </si>
  <si>
    <t>Ofertado Regulação - Setembro/24</t>
  </si>
  <si>
    <t>Cirurgia Plástica - CERFIS</t>
  </si>
  <si>
    <t>Agência Transfusional</t>
  </si>
  <si>
    <t>Análises Clínicas</t>
  </si>
  <si>
    <t>Anatomia Patológica</t>
  </si>
  <si>
    <t>Ecodoppler</t>
  </si>
  <si>
    <t>Radiografia</t>
  </si>
  <si>
    <t>Tomografia Computadorizada</t>
  </si>
  <si>
    <t>Fisioterapia</t>
  </si>
  <si>
    <t>Fonoaudiologia</t>
  </si>
  <si>
    <t>Laser Terapia</t>
  </si>
  <si>
    <t>Hemodiálise</t>
  </si>
  <si>
    <t>Psicologia</t>
  </si>
  <si>
    <t>Terapia Ocupacional</t>
  </si>
  <si>
    <t>Indicadores do Serviço de Farmácia</t>
  </si>
  <si>
    <t>Critérios de Produção</t>
  </si>
  <si>
    <t>Disponibilidade do farmacêutico 24 horas durante todo o mês</t>
  </si>
  <si>
    <t>Prescrições analisadas por profissional farmacêutico por mês</t>
  </si>
  <si>
    <t>Notificações de eventos adversos envolvendo medicamentos tratadas pelo serviço de farmácia por mês</t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</si>
  <si>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cobertura do profissional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</si>
  <si>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prescrições analisadas por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</si>
  <si>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das notificações tratadas pelo serviço de farmácia</t>
    </r>
  </si>
  <si>
    <t>Setembro/24</t>
  </si>
  <si>
    <t>≥ 90%</t>
  </si>
  <si>
    <t>≤ 5</t>
  </si>
  <si>
    <t>≤ 24</t>
  </si>
  <si>
    <t>&lt; 8%</t>
  </si>
  <si>
    <t>≤ 7%</t>
  </si>
  <si>
    <t>8. Percentual de Exames de Imagem com resultado disponibilizado em até 10 dias</t>
  </si>
  <si>
    <t>9. Percentual de cirurgias eletivas realizadas com TMAT (Tempo máximo aceitável para tratamento) expirado (↓) para o primeiro ano</t>
  </si>
  <si>
    <t>&lt; 50%</t>
  </si>
  <si>
    <t>Número de cirurgias eletivas em lista de espera e encaminhado para unidade</t>
  </si>
  <si>
    <t>10. Percentual de cirurgias eleti vas realizadas com TMAT (Tempo máximo aceitável para tratamento) expirado (↓) para o segundo ano</t>
  </si>
  <si>
    <t>&lt; 25%</t>
  </si>
  <si>
    <t>11. Percentual de Casos de Doenças/Agravos/Eventos de Notificação Compulsório Imediata (DAEI) Digitadas Oportunamente - até 7 dias</t>
  </si>
  <si>
    <t>Nº de casos de DAEI digitadas em tempo oportuno - até 7 dias</t>
  </si>
  <si>
    <t>Nº de casos de DAEI digitadas (no período/mês)</t>
  </si>
  <si>
    <t>≥ 80%</t>
  </si>
  <si>
    <t>12. Percentual de Casos de Doenças/Agravos/Eventos de Notificação Compulsório Imediata (DAEI) Investigadas Oportunamente -até 48 horas da data da notificação</t>
  </si>
  <si>
    <t>Nº de casos de DAEI investigadas em tempo oportuno - até 48 horas da data da notificação</t>
  </si>
  <si>
    <t>Nº de casos de DAEI notificadas (no período/mês)</t>
  </si>
  <si>
    <t>13. Taxa de acurácia do estoque</t>
  </si>
  <si>
    <t>Número total de itens contados em conformidade</t>
  </si>
  <si>
    <t>Número total de itens padronizados cadastrados no sistema</t>
  </si>
  <si>
    <t>14. Taxa de perda financeira por vencimento de medicamentos</t>
  </si>
  <si>
    <t>≤ 2%</t>
  </si>
  <si>
    <t>Valor financeiro da perda de medicamentos padronizados por validade expirada (R$)</t>
  </si>
  <si>
    <t>valor financeiro de medicamentos inventariado no período (R$)</t>
  </si>
  <si>
    <t>15. Taxa de aceitabilidade das intervenções farmacêuticas</t>
  </si>
  <si>
    <t>Número absoluto de intervenções registradas</t>
  </si>
  <si>
    <t>Número de intervenções aceitas</t>
  </si>
  <si>
    <t xml:space="preserve">Número de cirurgias realizadas com TMAT expirado 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</si>
  <si>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Agosto/2024:</t>
    </r>
  </si>
  <si>
    <t>***O indicador referente à competência do mês de Setembro/24 será apresentado no mês subsequente devido as informações ainda estarem em apuração.</t>
  </si>
  <si>
    <t xml:space="preserve">Ecocardiograma </t>
  </si>
  <si>
    <t>Não se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</si>
</sst>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7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6EAB4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rgb="FF000000"/>
      <name val="Arial"/>
      <family val="2"/>
      <charset val="1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</font>
    <font>
      <sz val="9"/>
      <color rgb="FFFFFF00"/>
      <name val="Arial"/>
      <family val="2"/>
    </font>
    <font>
      <sz val="11"/>
      <color rgb="FF7030A0"/>
      <name val="Calibri"/>
      <family val="2"/>
      <scheme val="minor"/>
    </font>
    <font>
      <b/>
      <sz val="10"/>
      <color rgb="FFFFFF00"/>
      <name val="Calibri"/>
      <family val="2"/>
    </font>
    <font>
      <sz val="9"/>
      <color rgb="FF7030A0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1"/>
      <color indexed="64"/>
      <name val="Arial"/>
      <family val="2"/>
    </font>
    <font>
      <sz val="12"/>
      <name val="Arial"/>
      <family val="2"/>
      <charset val="1"/>
    </font>
    <font>
      <sz val="8"/>
      <color rgb="FFFFFF00"/>
      <name val="Arial"/>
      <family val="2"/>
    </font>
    <font>
      <b/>
      <sz val="9"/>
      <color rgb="FFFF0000"/>
      <name val="Arial"/>
      <family val="2"/>
    </font>
    <font>
      <sz val="11"/>
      <color theme="7"/>
      <name val="Segoe UI Historic"/>
      <family val="2"/>
    </font>
    <font>
      <b/>
      <sz val="10"/>
      <color indexed="6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  <fill>
      <patternFill patternType="solid">
        <fgColor indexed="65"/>
        <b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43" fontId="16" fillId="0" borderId="0" applyFont="0" applyFill="0" applyBorder="0" applyAlignment="0" applyProtection="0"/>
    <xf numFmtId="0" fontId="19" fillId="16" borderId="0" applyBorder="0" applyProtection="0"/>
    <xf numFmtId="0" fontId="19" fillId="17" borderId="0" applyBorder="0" applyProtection="0"/>
    <xf numFmtId="0" fontId="20" fillId="18" borderId="0" applyBorder="0" applyProtection="0"/>
    <xf numFmtId="0" fontId="20" fillId="0" borderId="0" applyBorder="0" applyProtection="0"/>
    <xf numFmtId="0" fontId="21" fillId="19" borderId="0" applyBorder="0" applyProtection="0"/>
    <xf numFmtId="0" fontId="22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23" fillId="0" borderId="0" applyBorder="0" applyProtection="0"/>
    <xf numFmtId="9" fontId="16" fillId="0" borderId="0" applyBorder="0" applyProtection="0"/>
    <xf numFmtId="43" fontId="16" fillId="0" borderId="0" applyFont="0" applyFill="0" applyBorder="0" applyAlignment="0" applyProtection="0"/>
  </cellStyleXfs>
  <cellXfs count="22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4" applyAlignment="1" applyProtection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10" fillId="0" borderId="0" xfId="0" applyFont="1"/>
    <xf numFmtId="164" fontId="0" fillId="0" borderId="0" xfId="0" applyNumberFormat="1"/>
    <xf numFmtId="10" fontId="2" fillId="0" borderId="0" xfId="2" applyNumberFormat="1" applyFont="1"/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9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9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6" fillId="0" borderId="0" xfId="5"/>
    <xf numFmtId="0" fontId="17" fillId="0" borderId="0" xfId="5" applyFont="1" applyAlignment="1">
      <alignment horizontal="center" vertical="center"/>
    </xf>
    <xf numFmtId="0" fontId="16" fillId="20" borderId="0" xfId="5" applyFill="1"/>
    <xf numFmtId="0" fontId="26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27" fillId="0" borderId="1" xfId="5" applyFont="1" applyBorder="1" applyAlignment="1">
      <alignment horizontal="right" vertical="center" wrapText="1"/>
    </xf>
    <xf numFmtId="0" fontId="17" fillId="0" borderId="1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29" fillId="21" borderId="1" xfId="5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6" fillId="0" borderId="0" xfId="5" applyAlignment="1">
      <alignment horizontal="center" vertical="center"/>
    </xf>
    <xf numFmtId="0" fontId="24" fillId="0" borderId="0" xfId="5" applyFont="1" applyAlignment="1">
      <alignment horizontal="center" vertical="center"/>
    </xf>
    <xf numFmtId="43" fontId="0" fillId="0" borderId="0" xfId="6" applyFont="1" applyAlignment="1">
      <alignment horizontal="center" vertical="center"/>
    </xf>
    <xf numFmtId="0" fontId="24" fillId="0" borderId="0" xfId="5" applyFont="1" applyAlignment="1">
      <alignment vertical="center"/>
    </xf>
    <xf numFmtId="0" fontId="16" fillId="0" borderId="0" xfId="5" applyAlignment="1">
      <alignment vertical="center"/>
    </xf>
    <xf numFmtId="9" fontId="17" fillId="0" borderId="1" xfId="5" applyNumberFormat="1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43" fontId="0" fillId="0" borderId="0" xfId="6" applyFont="1" applyBorder="1"/>
    <xf numFmtId="0" fontId="18" fillId="0" borderId="0" xfId="0" applyFont="1" applyAlignment="1">
      <alignment horizontal="center" vertical="center"/>
    </xf>
    <xf numFmtId="0" fontId="17" fillId="0" borderId="0" xfId="5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2" fillId="0" borderId="1" xfId="5" applyFont="1" applyBorder="1" applyAlignment="1">
      <alignment horizontal="center" vertical="center" wrapText="1"/>
    </xf>
    <xf numFmtId="0" fontId="15" fillId="24" borderId="1" xfId="5" applyFont="1" applyFill="1" applyBorder="1" applyAlignment="1">
      <alignment horizontal="center" vertical="center" wrapText="1"/>
    </xf>
    <xf numFmtId="167" fontId="24" fillId="0" borderId="0" xfId="5" applyNumberFormat="1" applyFont="1" applyAlignment="1">
      <alignment vertical="center"/>
    </xf>
    <xf numFmtId="167" fontId="16" fillId="0" borderId="0" xfId="5" applyNumberFormat="1" applyAlignment="1">
      <alignment vertical="center"/>
    </xf>
    <xf numFmtId="3" fontId="17" fillId="22" borderId="1" xfId="0" applyNumberFormat="1" applyFont="1" applyFill="1" applyBorder="1" applyAlignment="1">
      <alignment horizontal="center" vertical="center" wrapText="1"/>
    </xf>
    <xf numFmtId="0" fontId="16" fillId="0" borderId="0" xfId="5" applyAlignment="1">
      <alignment horizontal="left" vertical="center"/>
    </xf>
    <xf numFmtId="0" fontId="33" fillId="0" borderId="0" xfId="5" applyFont="1" applyAlignment="1">
      <alignment vertical="center"/>
    </xf>
    <xf numFmtId="0" fontId="33" fillId="0" borderId="0" xfId="5" applyFont="1" applyAlignment="1">
      <alignment horizontal="center" vertical="center"/>
    </xf>
    <xf numFmtId="49" fontId="29" fillId="21" borderId="1" xfId="5" applyNumberFormat="1" applyFont="1" applyFill="1" applyBorder="1" applyAlignment="1">
      <alignment horizontal="center" vertical="center" wrapText="1"/>
    </xf>
    <xf numFmtId="3" fontId="18" fillId="0" borderId="1" xfId="5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4" fillId="4" borderId="1" xfId="5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 vertical="center"/>
    </xf>
    <xf numFmtId="0" fontId="20" fillId="0" borderId="7" xfId="5" applyFont="1" applyBorder="1" applyAlignment="1">
      <alignment vertical="center"/>
    </xf>
    <xf numFmtId="0" fontId="7" fillId="0" borderId="0" xfId="5" applyFont="1" applyAlignment="1">
      <alignment horizontal="center" vertical="center" wrapText="1"/>
    </xf>
    <xf numFmtId="0" fontId="37" fillId="0" borderId="0" xfId="5" applyFont="1" applyAlignment="1">
      <alignment horizontal="left" vertical="center"/>
    </xf>
    <xf numFmtId="43" fontId="38" fillId="0" borderId="0" xfId="6" applyFont="1" applyBorder="1" applyAlignment="1">
      <alignment vertical="center"/>
    </xf>
    <xf numFmtId="0" fontId="16" fillId="0" borderId="0" xfId="5" applyAlignment="1">
      <alignment horizontal="left" vertical="top" wrapText="1"/>
    </xf>
    <xf numFmtId="10" fontId="17" fillId="0" borderId="1" xfId="2" applyNumberFormat="1" applyFont="1" applyFill="1" applyBorder="1" applyAlignment="1">
      <alignment horizontal="center" vertical="center" wrapText="1"/>
    </xf>
    <xf numFmtId="2" fontId="17" fillId="0" borderId="1" xfId="2" applyNumberFormat="1" applyFont="1" applyFill="1" applyBorder="1" applyAlignment="1">
      <alignment horizontal="center" vertical="center" wrapText="1"/>
    </xf>
    <xf numFmtId="0" fontId="39" fillId="0" borderId="0" xfId="5" applyFont="1" applyAlignment="1">
      <alignment vertical="center"/>
    </xf>
    <xf numFmtId="0" fontId="17" fillId="0" borderId="1" xfId="5" applyFont="1" applyBorder="1" applyAlignment="1">
      <alignment horizontal="justify" vertical="justify" wrapText="1"/>
    </xf>
    <xf numFmtId="10" fontId="28" fillId="0" borderId="1" xfId="2" applyNumberFormat="1" applyFont="1" applyFill="1" applyBorder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 wrapText="1"/>
    </xf>
    <xf numFmtId="3" fontId="35" fillId="0" borderId="0" xfId="5" applyNumberFormat="1" applyFont="1" applyAlignment="1">
      <alignment horizontal="left"/>
    </xf>
    <xf numFmtId="0" fontId="27" fillId="0" borderId="0" xfId="5" applyFont="1" applyAlignment="1">
      <alignment horizontal="right" vertical="center" wrapText="1"/>
    </xf>
    <xf numFmtId="0" fontId="25" fillId="0" borderId="0" xfId="5" applyFont="1" applyAlignment="1">
      <alignment horizontal="center" vertical="center" wrapText="1"/>
    </xf>
    <xf numFmtId="0" fontId="40" fillId="0" borderId="0" xfId="5" applyFont="1" applyAlignment="1">
      <alignment horizontal="left" vertical="center" wrapText="1"/>
    </xf>
    <xf numFmtId="3" fontId="16" fillId="0" borderId="0" xfId="5" applyNumberFormat="1"/>
    <xf numFmtId="0" fontId="30" fillId="24" borderId="1" xfId="5" applyFont="1" applyFill="1" applyBorder="1" applyAlignment="1">
      <alignment horizontal="center" vertical="center" wrapText="1"/>
    </xf>
    <xf numFmtId="3" fontId="32" fillId="22" borderId="1" xfId="0" applyNumberFormat="1" applyFont="1" applyFill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0" fontId="41" fillId="0" borderId="1" xfId="5" applyFont="1" applyBorder="1" applyAlignment="1">
      <alignment horizontal="center" vertical="center" wrapText="1"/>
    </xf>
    <xf numFmtId="0" fontId="42" fillId="25" borderId="1" xfId="5" applyFont="1" applyFill="1" applyBorder="1" applyAlignment="1">
      <alignment horizontal="center" vertical="center" wrapText="1"/>
    </xf>
    <xf numFmtId="3" fontId="41" fillId="0" borderId="1" xfId="5" applyNumberFormat="1" applyFont="1" applyBorder="1" applyAlignment="1">
      <alignment horizontal="center" vertical="center" wrapText="1"/>
    </xf>
    <xf numFmtId="3" fontId="42" fillId="25" borderId="1" xfId="5" applyNumberFormat="1" applyFont="1" applyFill="1" applyBorder="1" applyAlignment="1">
      <alignment horizontal="center" vertical="center" wrapText="1"/>
    </xf>
    <xf numFmtId="0" fontId="43" fillId="0" borderId="1" xfId="5" applyFont="1" applyBorder="1" applyAlignment="1">
      <alignment horizontal="center" vertical="center" wrapText="1"/>
    </xf>
    <xf numFmtId="0" fontId="43" fillId="26" borderId="1" xfId="5" applyFont="1" applyFill="1" applyBorder="1" applyAlignment="1">
      <alignment horizontal="center" vertical="center" wrapText="1"/>
    </xf>
    <xf numFmtId="0" fontId="30" fillId="26" borderId="1" xfId="5" applyFont="1" applyFill="1" applyBorder="1" applyAlignment="1">
      <alignment horizontal="center" vertical="center" wrapText="1"/>
    </xf>
    <xf numFmtId="0" fontId="30" fillId="0" borderId="1" xfId="5" applyFont="1" applyBorder="1" applyAlignment="1">
      <alignment horizontal="center" vertical="center" wrapText="1"/>
    </xf>
    <xf numFmtId="0" fontId="36" fillId="0" borderId="0" xfId="5" applyFont="1" applyAlignment="1">
      <alignment horizontal="center" vertical="center"/>
    </xf>
    <xf numFmtId="0" fontId="45" fillId="0" borderId="0" xfId="5" applyFont="1" applyAlignment="1">
      <alignment horizontal="left" vertical="center" wrapText="1"/>
    </xf>
    <xf numFmtId="0" fontId="34" fillId="20" borderId="0" xfId="5" applyFont="1" applyFill="1" applyAlignment="1">
      <alignment vertical="center"/>
    </xf>
    <xf numFmtId="0" fontId="36" fillId="0" borderId="0" xfId="5" applyFont="1" applyAlignment="1">
      <alignment horizontal="center" vertical="center" wrapText="1"/>
    </xf>
    <xf numFmtId="0" fontId="36" fillId="0" borderId="0" xfId="5" applyFont="1" applyAlignment="1">
      <alignment horizontal="left" vertical="center"/>
    </xf>
    <xf numFmtId="0" fontId="34" fillId="0" borderId="7" xfId="5" applyFont="1" applyBorder="1" applyAlignment="1">
      <alignment vertical="center"/>
    </xf>
    <xf numFmtId="0" fontId="34" fillId="0" borderId="0" xfId="5" applyFont="1" applyAlignment="1">
      <alignment vertical="center"/>
    </xf>
    <xf numFmtId="2" fontId="16" fillId="0" borderId="0" xfId="5" applyNumberFormat="1" applyAlignment="1">
      <alignment vertical="center"/>
    </xf>
    <xf numFmtId="0" fontId="47" fillId="0" borderId="0" xfId="0" applyFont="1"/>
    <xf numFmtId="0" fontId="27" fillId="0" borderId="1" xfId="5" applyFont="1" applyBorder="1" applyAlignment="1">
      <alignment horizontal="right" vertical="center"/>
    </xf>
    <xf numFmtId="0" fontId="40" fillId="0" borderId="0" xfId="5" applyFont="1" applyAlignment="1">
      <alignment horizontal="left" vertical="center"/>
    </xf>
    <xf numFmtId="0" fontId="7" fillId="0" borderId="0" xfId="5" applyFont="1" applyAlignment="1">
      <alignment horizontal="left" vertical="center" wrapText="1"/>
    </xf>
    <xf numFmtId="0" fontId="31" fillId="0" borderId="1" xfId="5" applyFont="1" applyBorder="1" applyAlignment="1" applyProtection="1">
      <alignment horizontal="center" vertical="center" wrapText="1"/>
      <protection locked="0"/>
    </xf>
    <xf numFmtId="0" fontId="44" fillId="0" borderId="1" xfId="5" applyFont="1" applyBorder="1" applyAlignment="1" applyProtection="1">
      <alignment horizontal="center" vertical="center" wrapText="1"/>
      <protection locked="0"/>
    </xf>
    <xf numFmtId="3" fontId="31" fillId="0" borderId="1" xfId="5" applyNumberFormat="1" applyFont="1" applyBorder="1" applyAlignment="1" applyProtection="1">
      <alignment horizontal="center" vertical="center" wrapText="1"/>
      <protection locked="0"/>
    </xf>
    <xf numFmtId="10" fontId="18" fillId="0" borderId="1" xfId="5" applyNumberFormat="1" applyFont="1" applyBorder="1" applyAlignment="1">
      <alignment horizontal="center" vertical="center" wrapText="1"/>
    </xf>
    <xf numFmtId="2" fontId="18" fillId="0" borderId="1" xfId="5" applyNumberFormat="1" applyFont="1" applyBorder="1" applyAlignment="1">
      <alignment horizontal="center" vertical="center" wrapText="1"/>
    </xf>
    <xf numFmtId="1" fontId="25" fillId="0" borderId="1" xfId="5" applyNumberFormat="1" applyFont="1" applyBorder="1" applyAlignment="1">
      <alignment horizontal="center" vertical="center" wrapText="1"/>
    </xf>
    <xf numFmtId="0" fontId="46" fillId="0" borderId="0" xfId="5" applyFont="1" applyAlignment="1">
      <alignment horizontal="left" vertical="center"/>
    </xf>
    <xf numFmtId="0" fontId="43" fillId="27" borderId="1" xfId="0" applyFont="1" applyFill="1" applyBorder="1" applyAlignment="1">
      <alignment horizontal="center" vertical="center" wrapText="1"/>
    </xf>
    <xf numFmtId="0" fontId="43" fillId="27" borderId="1" xfId="0" applyFont="1" applyFill="1" applyBorder="1" applyAlignment="1">
      <alignment horizontal="center" vertical="center"/>
    </xf>
    <xf numFmtId="0" fontId="17" fillId="0" borderId="1" xfId="5" applyFont="1" applyBorder="1" applyAlignment="1">
      <alignment horizontal="justify" vertical="center" wrapText="1"/>
    </xf>
    <xf numFmtId="0" fontId="27" fillId="0" borderId="1" xfId="5" applyFont="1" applyBorder="1" applyAlignment="1">
      <alignment horizontal="justify" vertical="center" wrapText="1"/>
    </xf>
    <xf numFmtId="0" fontId="18" fillId="0" borderId="1" xfId="5" applyFont="1" applyBorder="1" applyAlignment="1">
      <alignment horizontal="justify" vertical="center" wrapText="1"/>
    </xf>
    <xf numFmtId="10" fontId="18" fillId="0" borderId="1" xfId="2" applyNumberFormat="1" applyFont="1" applyFill="1" applyBorder="1" applyAlignment="1">
      <alignment horizontal="center" vertical="center" wrapText="1"/>
    </xf>
    <xf numFmtId="4" fontId="18" fillId="0" borderId="1" xfId="5" applyNumberFormat="1" applyFont="1" applyBorder="1" applyAlignment="1">
      <alignment horizontal="center" vertical="center" wrapText="1"/>
    </xf>
    <xf numFmtId="0" fontId="30" fillId="0" borderId="13" xfId="5" applyFont="1" applyBorder="1" applyAlignment="1">
      <alignment horizontal="center" vertical="center" wrapText="1"/>
    </xf>
    <xf numFmtId="0" fontId="30" fillId="0" borderId="14" xfId="5" applyFont="1" applyBorder="1" applyAlignment="1">
      <alignment horizontal="center" vertical="center" wrapText="1"/>
    </xf>
    <xf numFmtId="3" fontId="30" fillId="0" borderId="13" xfId="5" applyNumberFormat="1" applyFont="1" applyBorder="1" applyAlignment="1">
      <alignment horizontal="center" vertical="center" wrapText="1"/>
    </xf>
    <xf numFmtId="0" fontId="15" fillId="0" borderId="13" xfId="5" applyFont="1" applyBorder="1" applyAlignment="1">
      <alignment horizontal="center" vertical="center" wrapText="1"/>
    </xf>
    <xf numFmtId="0" fontId="15" fillId="0" borderId="14" xfId="5" applyFont="1" applyBorder="1" applyAlignment="1">
      <alignment horizontal="center" vertical="center" wrapText="1"/>
    </xf>
    <xf numFmtId="0" fontId="29" fillId="23" borderId="1" xfId="5" applyFont="1" applyFill="1" applyBorder="1" applyAlignment="1">
      <alignment horizontal="center" vertical="center" wrapText="1"/>
    </xf>
    <xf numFmtId="3" fontId="17" fillId="22" borderId="13" xfId="0" applyNumberFormat="1" applyFont="1" applyFill="1" applyBorder="1" applyAlignment="1">
      <alignment horizontal="center" vertical="center" wrapText="1"/>
    </xf>
    <xf numFmtId="3" fontId="17" fillId="22" borderId="14" xfId="0" applyNumberFormat="1" applyFont="1" applyFill="1" applyBorder="1" applyAlignment="1">
      <alignment horizontal="center" vertical="center" wrapText="1"/>
    </xf>
    <xf numFmtId="3" fontId="18" fillId="0" borderId="13" xfId="5" applyNumberFormat="1" applyFont="1" applyBorder="1" applyAlignment="1">
      <alignment horizontal="center" vertical="center" wrapText="1"/>
    </xf>
    <xf numFmtId="3" fontId="18" fillId="0" borderId="14" xfId="5" applyNumberFormat="1" applyFont="1" applyBorder="1" applyAlignment="1">
      <alignment horizontal="center" vertical="center" wrapText="1"/>
    </xf>
    <xf numFmtId="0" fontId="18" fillId="0" borderId="13" xfId="5" applyFont="1" applyBorder="1" applyAlignment="1">
      <alignment horizontal="center" vertical="center" wrapText="1"/>
    </xf>
    <xf numFmtId="0" fontId="18" fillId="0" borderId="14" xfId="5" applyFont="1" applyBorder="1" applyAlignment="1">
      <alignment horizontal="center" vertical="center" wrapText="1"/>
    </xf>
    <xf numFmtId="0" fontId="17" fillId="22" borderId="13" xfId="0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3" fontId="48" fillId="0" borderId="18" xfId="5" applyNumberFormat="1" applyFont="1" applyBorder="1" applyAlignment="1">
      <alignment horizontal="center" vertical="center" wrapText="1"/>
    </xf>
    <xf numFmtId="0" fontId="48" fillId="0" borderId="19" xfId="5" applyFont="1" applyBorder="1" applyAlignment="1">
      <alignment horizontal="center" vertical="center" wrapText="1"/>
    </xf>
    <xf numFmtId="0" fontId="48" fillId="0" borderId="20" xfId="5" applyFont="1" applyBorder="1" applyAlignment="1">
      <alignment horizontal="center" vertical="center" wrapText="1"/>
    </xf>
    <xf numFmtId="0" fontId="29" fillId="23" borderId="13" xfId="5" applyFont="1" applyFill="1" applyBorder="1" applyAlignment="1">
      <alignment horizontal="center" vertical="center" wrapText="1"/>
    </xf>
    <xf numFmtId="0" fontId="29" fillId="23" borderId="15" xfId="5" applyFont="1" applyFill="1" applyBorder="1" applyAlignment="1">
      <alignment horizontal="center" vertical="center" wrapText="1"/>
    </xf>
    <xf numFmtId="0" fontId="29" fillId="23" borderId="14" xfId="5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9" fillId="23" borderId="20" xfId="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3" fontId="32" fillId="22" borderId="13" xfId="0" applyNumberFormat="1" applyFont="1" applyFill="1" applyBorder="1" applyAlignment="1">
      <alignment horizontal="center" vertical="center" wrapText="1"/>
    </xf>
    <xf numFmtId="3" fontId="32" fillId="22" borderId="14" xfId="0" applyNumberFormat="1" applyFont="1" applyFill="1" applyBorder="1" applyAlignment="1">
      <alignment horizontal="center" vertical="center" wrapText="1"/>
    </xf>
    <xf numFmtId="0" fontId="34" fillId="0" borderId="7" xfId="5" applyFont="1" applyBorder="1" applyAlignment="1">
      <alignment horizontal="left" vertical="center"/>
    </xf>
    <xf numFmtId="0" fontId="34" fillId="0" borderId="0" xfId="5" applyFont="1" applyAlignment="1">
      <alignment horizontal="left" vertical="center"/>
    </xf>
    <xf numFmtId="0" fontId="16" fillId="0" borderId="0" xfId="5"/>
    <xf numFmtId="0" fontId="14" fillId="0" borderId="0" xfId="5" applyFont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165" fontId="17" fillId="0" borderId="18" xfId="2" applyNumberFormat="1" applyFont="1" applyFill="1" applyBorder="1" applyAlignment="1">
      <alignment horizontal="center" vertical="center" wrapText="1"/>
    </xf>
    <xf numFmtId="165" fontId="17" fillId="0" borderId="19" xfId="2" applyNumberFormat="1" applyFont="1" applyFill="1" applyBorder="1" applyAlignment="1">
      <alignment horizontal="center" vertical="center" wrapText="1"/>
    </xf>
    <xf numFmtId="165" fontId="17" fillId="0" borderId="20" xfId="2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horizontal="left" vertical="center" wrapText="1"/>
    </xf>
    <xf numFmtId="0" fontId="27" fillId="0" borderId="0" xfId="5" applyFont="1" applyAlignment="1">
      <alignment horizontal="justify" vertical="justify" wrapText="1"/>
    </xf>
    <xf numFmtId="10" fontId="17" fillId="0" borderId="18" xfId="2" applyNumberFormat="1" applyFont="1" applyFill="1" applyBorder="1" applyAlignment="1">
      <alignment horizontal="center" vertical="center" wrapText="1"/>
    </xf>
    <xf numFmtId="10" fontId="17" fillId="0" borderId="19" xfId="2" applyNumberFormat="1" applyFont="1" applyFill="1" applyBorder="1" applyAlignment="1">
      <alignment horizontal="center" vertical="center" wrapText="1"/>
    </xf>
    <xf numFmtId="10" fontId="17" fillId="0" borderId="20" xfId="2" applyNumberFormat="1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8">
    <cellStyle name="Accent 1 5" xfId="7" xr:uid="{00000000-0005-0000-0000-000000000000}"/>
    <cellStyle name="Accent 2 6" xfId="8" xr:uid="{00000000-0005-0000-0000-000001000000}"/>
    <cellStyle name="Accent 3 3" xfId="9" xr:uid="{00000000-0005-0000-0000-000002000000}"/>
    <cellStyle name="Accent 4" xfId="10" xr:uid="{00000000-0005-0000-0000-000003000000}"/>
    <cellStyle name="Error 8" xfId="11" xr:uid="{00000000-0005-0000-0000-000004000000}"/>
    <cellStyle name="Footnote 9" xfId="12" xr:uid="{00000000-0005-0000-0000-000005000000}"/>
    <cellStyle name="Hiperlink" xfId="4" builtinId="8"/>
    <cellStyle name="Normal" xfId="0" builtinId="0"/>
    <cellStyle name="Normal 2" xfId="3" xr:uid="{00000000-0005-0000-0000-000008000000}"/>
    <cellStyle name="Normal 3" xfId="5" xr:uid="{00000000-0005-0000-0000-000009000000}"/>
    <cellStyle name="Porcentagem" xfId="2" builtinId="5"/>
    <cellStyle name="Porcentagem 2" xfId="16" xr:uid="{00000000-0005-0000-0000-00000B000000}"/>
    <cellStyle name="Separador de milhares 2" xfId="6" xr:uid="{00000000-0005-0000-0000-00000D000000}"/>
    <cellStyle name="Separador de milhares 2 2" xfId="17" xr:uid="{00000000-0005-0000-0000-00000E000000}"/>
    <cellStyle name="Status 7" xfId="13" xr:uid="{00000000-0005-0000-0000-00000F000000}"/>
    <cellStyle name="Text 1" xfId="14" xr:uid="{00000000-0005-0000-0000-000010000000}"/>
    <cellStyle name="Vírgula" xfId="1" builtinId="3"/>
    <cellStyle name="Warning 2" xfId="15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B8D78"/>
      <color rgb="FF257967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12707" y="1301226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664704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59222" y="134055"/>
          <a:ext cx="829028" cy="530649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>
    <xdr:from>
      <xdr:col>1</xdr:col>
      <xdr:colOff>137584</xdr:colOff>
      <xdr:row>0</xdr:row>
      <xdr:rowOff>42333</xdr:rowOff>
    </xdr:from>
    <xdr:to>
      <xdr:col>4</xdr:col>
      <xdr:colOff>150880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40784" y="45508"/>
          <a:ext cx="7668221" cy="945093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27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28</xdr:row>
      <xdr:rowOff>93960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21167</xdr:colOff>
      <xdr:row>51</xdr:row>
      <xdr:rowOff>95250</xdr:rowOff>
    </xdr:from>
    <xdr:to>
      <xdr:col>2</xdr:col>
      <xdr:colOff>940859</xdr:colOff>
      <xdr:row>54</xdr:row>
      <xdr:rowOff>404863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FBF5DB9-1BFB-4A32-AAF0-12FB98DC4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167" y="18467917"/>
          <a:ext cx="6931025" cy="10186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274864</xdr:colOff>
      <xdr:row>22</xdr:row>
      <xdr:rowOff>19050</xdr:rowOff>
    </xdr:to>
    <xdr:pic>
      <xdr:nvPicPr>
        <xdr:cNvPr id="1025" name="Picture 1" descr="http://utisbrasileiras.com.br/utisbra_graficos/PT_6-temporal_SMR_Hospital_TipoHospital.png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52500"/>
          <a:ext cx="6980464" cy="3257550"/>
        </a:xfrm>
        <a:prstGeom prst="rect">
          <a:avLst/>
        </a:prstGeom>
        <a:solidFill>
          <a:schemeClr val="bg1">
            <a:lumMod val="75000"/>
          </a:schemeClr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.4.2%20-%20SUPLAN\2.4.2.2%20-%20SEPLAN\01.%20Presta&#231;&#227;o%20de%20Contas\01.%20Peri&#243;dicos\01.%20Mensal\02.%20Portf&#243;lio%20COMFIC\2024\09.%20Setembro\Indicadores_HECAD%20-%20Setembro%202024.xlsx" TargetMode="External"/><Relationship Id="rId1" Type="http://schemas.openxmlformats.org/officeDocument/2006/relationships/externalLinkPath" Target="file:///Z:\2.4.2%20-%20SUPLAN\2.4.2.2%20-%20SEPLAN\01.%20Presta&#231;&#227;o%20de%20Contas\01.%20Peri&#243;dicos\01.%20Mensal\02.%20Portf&#243;lio%20COMFIC\2024\09.%20Setembro\Indicadores_HECAD%20-%20Setemb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ção"/>
      <sheetName val="Indicadores de Desempenho"/>
      <sheetName val="Indicadores de Efetividade"/>
      <sheetName val="Indicadores e Metas de Qualidad"/>
      <sheetName val="TMP_UTIs Brasil"/>
    </sheetNames>
    <sheetDataSet>
      <sheetData sheetId="0">
        <row r="15">
          <cell r="D15">
            <v>715</v>
          </cell>
        </row>
        <row r="34">
          <cell r="D34">
            <v>2</v>
          </cell>
        </row>
        <row r="35">
          <cell r="D35">
            <v>3</v>
          </cell>
        </row>
        <row r="36">
          <cell r="D36">
            <v>32</v>
          </cell>
        </row>
        <row r="37">
          <cell r="D37">
            <v>52</v>
          </cell>
        </row>
        <row r="38">
          <cell r="D38">
            <v>84</v>
          </cell>
        </row>
        <row r="39">
          <cell r="D39">
            <v>135</v>
          </cell>
        </row>
        <row r="40">
          <cell r="D40">
            <v>87</v>
          </cell>
        </row>
        <row r="41">
          <cell r="D41">
            <v>385</v>
          </cell>
        </row>
        <row r="42">
          <cell r="D42">
            <v>11</v>
          </cell>
        </row>
      </sheetData>
      <sheetData sheetId="1">
        <row r="5">
          <cell r="D5">
            <v>0.88540540540540535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tisbrasileiras.com.br/uti-adulto/evolucao-do-smr-e-do-sru-hospita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I142"/>
  <sheetViews>
    <sheetView showGridLines="0" view="pageBreakPreview" zoomScaleNormal="80" zoomScaleSheetLayoutView="100" workbookViewId="0">
      <pane ySplit="3" topLeftCell="A132" activePane="bottomLeft" state="frozen"/>
      <selection pane="bottomLeft" activeCell="E12" sqref="E12:H12"/>
    </sheetView>
  </sheetViews>
  <sheetFormatPr defaultColWidth="9" defaultRowHeight="14.5" x14ac:dyDescent="0.35"/>
  <cols>
    <col min="1" max="1" width="2.81640625" style="67" customWidth="1"/>
    <col min="2" max="2" width="58.26953125" style="67" customWidth="1"/>
    <col min="3" max="3" width="24.26953125" style="67" customWidth="1"/>
    <col min="4" max="4" width="27.1796875" style="67" customWidth="1"/>
    <col min="5" max="5" width="82.26953125" style="67" bestFit="1" customWidth="1"/>
    <col min="6" max="6" width="10.81640625" style="67" customWidth="1"/>
    <col min="7" max="7" width="24.1796875" style="67" customWidth="1"/>
    <col min="8" max="8" width="13" style="67" customWidth="1"/>
    <col min="9" max="909" width="8.7265625" style="67" customWidth="1"/>
    <col min="910" max="984" width="11.54296875" style="67" customWidth="1"/>
    <col min="985" max="998" width="8.7265625" style="67" customWidth="1"/>
    <col min="999" max="16384" width="9" style="67"/>
  </cols>
  <sheetData>
    <row r="1" spans="2:8" ht="78" customHeight="1" x14ac:dyDescent="0.35">
      <c r="B1" s="189"/>
      <c r="C1" s="189"/>
      <c r="D1" s="189"/>
    </row>
    <row r="2" spans="2:8" ht="7.5" customHeight="1" x14ac:dyDescent="0.35"/>
    <row r="3" spans="2:8" ht="34.5" customHeight="1" x14ac:dyDescent="0.35">
      <c r="B3" s="166" t="s">
        <v>181</v>
      </c>
      <c r="C3" s="166"/>
      <c r="D3" s="166"/>
    </row>
    <row r="4" spans="2:8" s="68" customFormat="1" ht="21" customHeight="1" x14ac:dyDescent="0.35">
      <c r="B4" s="90" t="s">
        <v>110</v>
      </c>
      <c r="C4" s="128" t="s">
        <v>184</v>
      </c>
      <c r="D4" s="79" t="s">
        <v>189</v>
      </c>
    </row>
    <row r="5" spans="2:8" s="81" customFormat="1" ht="19.899999999999999" customHeight="1" x14ac:dyDescent="0.35">
      <c r="B5" s="76" t="s">
        <v>168</v>
      </c>
      <c r="C5" s="127">
        <v>809</v>
      </c>
      <c r="D5" s="104">
        <f>D15</f>
        <v>715</v>
      </c>
      <c r="E5" s="100"/>
    </row>
    <row r="6" spans="2:8" s="81" customFormat="1" ht="19.899999999999999" customHeight="1" x14ac:dyDescent="0.35">
      <c r="B6" s="76" t="s">
        <v>111</v>
      </c>
      <c r="C6" s="127">
        <v>246</v>
      </c>
      <c r="D6" s="104">
        <f>D21</f>
        <v>225</v>
      </c>
      <c r="E6" s="82"/>
    </row>
    <row r="7" spans="2:8" s="81" customFormat="1" ht="19.899999999999999" customHeight="1" x14ac:dyDescent="0.35">
      <c r="B7" s="76" t="s">
        <v>112</v>
      </c>
      <c r="C7" s="129">
        <v>2861</v>
      </c>
      <c r="D7" s="104">
        <f>D30</f>
        <v>2910</v>
      </c>
      <c r="E7" s="108"/>
    </row>
    <row r="8" spans="2:8" s="81" customFormat="1" ht="19.899999999999999" customHeight="1" x14ac:dyDescent="0.35">
      <c r="B8" s="76" t="s">
        <v>171</v>
      </c>
      <c r="C8" s="127">
        <v>146</v>
      </c>
      <c r="D8" s="104">
        <f>D44</f>
        <v>3645</v>
      </c>
      <c r="E8" s="83"/>
    </row>
    <row r="9" spans="2:8" ht="18" customHeight="1" x14ac:dyDescent="0.35">
      <c r="B9" s="88"/>
      <c r="C9" s="88"/>
      <c r="D9" s="88"/>
      <c r="E9" s="91"/>
    </row>
    <row r="10" spans="2:8" ht="25.15" customHeight="1" x14ac:dyDescent="0.35">
      <c r="B10" s="166" t="s">
        <v>113</v>
      </c>
      <c r="C10" s="166"/>
      <c r="D10" s="166"/>
      <c r="E10" s="111"/>
    </row>
    <row r="11" spans="2:8" s="68" customFormat="1" ht="22.5" customHeight="1" x14ac:dyDescent="0.35">
      <c r="B11" s="90" t="s">
        <v>113</v>
      </c>
      <c r="C11" s="128" t="s">
        <v>184</v>
      </c>
      <c r="D11" s="79" t="s">
        <v>189</v>
      </c>
    </row>
    <row r="12" spans="2:8" s="81" customFormat="1" ht="18" customHeight="1" x14ac:dyDescent="0.35">
      <c r="B12" s="76" t="s">
        <v>114</v>
      </c>
      <c r="C12" s="127">
        <v>434</v>
      </c>
      <c r="D12" s="76">
        <v>374</v>
      </c>
      <c r="E12" s="187"/>
      <c r="F12" s="188"/>
      <c r="G12" s="188"/>
      <c r="H12" s="188"/>
    </row>
    <row r="13" spans="2:8" s="81" customFormat="1" ht="18" customHeight="1" x14ac:dyDescent="0.35">
      <c r="B13" s="76" t="s">
        <v>108</v>
      </c>
      <c r="C13" s="127">
        <v>366</v>
      </c>
      <c r="D13" s="76">
        <v>328</v>
      </c>
      <c r="E13" s="187"/>
      <c r="F13" s="188"/>
      <c r="G13" s="188"/>
      <c r="H13" s="138"/>
    </row>
    <row r="14" spans="2:8" s="81" customFormat="1" ht="18" customHeight="1" x14ac:dyDescent="0.35">
      <c r="B14" s="76" t="s">
        <v>109</v>
      </c>
      <c r="C14" s="127">
        <v>9</v>
      </c>
      <c r="D14" s="76">
        <v>13</v>
      </c>
      <c r="E14" s="187"/>
      <c r="F14" s="188"/>
      <c r="G14" s="188"/>
      <c r="H14" s="138"/>
    </row>
    <row r="15" spans="2:8" s="81" customFormat="1" ht="18" customHeight="1" x14ac:dyDescent="0.35">
      <c r="B15" s="90" t="s">
        <v>17</v>
      </c>
      <c r="C15" s="128">
        <f>SUM(C12:C14)</f>
        <v>809</v>
      </c>
      <c r="D15" s="90">
        <f>SUM(D12:D14)</f>
        <v>715</v>
      </c>
      <c r="E15" s="140"/>
      <c r="F15" s="102"/>
      <c r="G15" s="102"/>
      <c r="H15" s="135"/>
    </row>
    <row r="16" spans="2:8" s="81" customFormat="1" ht="24" customHeight="1" x14ac:dyDescent="0.35">
      <c r="B16" s="88"/>
      <c r="C16" s="88"/>
      <c r="D16" s="88"/>
    </row>
    <row r="17" spans="2:9" ht="25.15" customHeight="1" x14ac:dyDescent="0.35">
      <c r="B17" s="166" t="s">
        <v>111</v>
      </c>
      <c r="C17" s="166"/>
      <c r="D17" s="166"/>
    </row>
    <row r="18" spans="2:9" s="68" customFormat="1" ht="22.5" customHeight="1" x14ac:dyDescent="0.35">
      <c r="B18" s="90" t="s">
        <v>115</v>
      </c>
      <c r="C18" s="128" t="s">
        <v>184</v>
      </c>
      <c r="D18" s="79" t="s">
        <v>189</v>
      </c>
    </row>
    <row r="19" spans="2:9" s="81" customFormat="1" ht="24" customHeight="1" x14ac:dyDescent="0.35">
      <c r="B19" s="76" t="s">
        <v>190</v>
      </c>
      <c r="C19" s="127">
        <v>25</v>
      </c>
      <c r="D19" s="126">
        <v>26</v>
      </c>
      <c r="E19" s="100"/>
    </row>
    <row r="20" spans="2:9" s="81" customFormat="1" ht="30.75" customHeight="1" x14ac:dyDescent="0.35">
      <c r="B20" s="76" t="s">
        <v>191</v>
      </c>
      <c r="C20" s="127">
        <v>221</v>
      </c>
      <c r="D20" s="126">
        <v>199</v>
      </c>
      <c r="E20" s="100"/>
    </row>
    <row r="21" spans="2:9" s="68" customFormat="1" ht="22.5" customHeight="1" x14ac:dyDescent="0.35">
      <c r="B21" s="90" t="s">
        <v>17</v>
      </c>
      <c r="C21" s="128">
        <f>SUM(C19:C20)</f>
        <v>246</v>
      </c>
      <c r="D21" s="90">
        <f>SUM(D19:D20)</f>
        <v>225</v>
      </c>
      <c r="E21" s="140"/>
    </row>
    <row r="22" spans="2:9" s="81" customFormat="1" ht="21.75" customHeight="1" x14ac:dyDescent="0.35">
      <c r="B22" s="76" t="s">
        <v>166</v>
      </c>
      <c r="C22" s="127" t="s">
        <v>185</v>
      </c>
      <c r="D22" s="126">
        <v>171</v>
      </c>
      <c r="E22" s="140"/>
    </row>
    <row r="23" spans="2:9" s="81" customFormat="1" ht="19.899999999999999" customHeight="1" x14ac:dyDescent="0.35">
      <c r="B23" s="90" t="s">
        <v>167</v>
      </c>
      <c r="C23" s="128">
        <f>C21</f>
        <v>246</v>
      </c>
      <c r="D23" s="90">
        <f>D21+D22</f>
        <v>396</v>
      </c>
      <c r="E23" s="140"/>
    </row>
    <row r="24" spans="2:9" s="81" customFormat="1" ht="22.5" customHeight="1" x14ac:dyDescent="0.35">
      <c r="B24" s="76" t="s">
        <v>192</v>
      </c>
      <c r="C24" s="127" t="s">
        <v>185</v>
      </c>
      <c r="D24" s="126">
        <v>9</v>
      </c>
      <c r="E24" s="141"/>
    </row>
    <row r="25" spans="2:9" ht="18" customHeight="1" x14ac:dyDescent="0.35">
      <c r="B25" s="88"/>
      <c r="C25" s="88"/>
      <c r="D25" s="88"/>
      <c r="E25" s="91"/>
      <c r="I25" s="81"/>
    </row>
    <row r="26" spans="2:9" ht="25.15" customHeight="1" x14ac:dyDescent="0.35">
      <c r="B26" s="166" t="s">
        <v>133</v>
      </c>
      <c r="C26" s="166"/>
      <c r="D26" s="166"/>
    </row>
    <row r="27" spans="2:9" s="68" customFormat="1" ht="22.5" customHeight="1" x14ac:dyDescent="0.35">
      <c r="B27" s="90" t="s">
        <v>116</v>
      </c>
      <c r="C27" s="128" t="s">
        <v>184</v>
      </c>
      <c r="D27" s="79" t="s">
        <v>189</v>
      </c>
      <c r="I27" s="67"/>
    </row>
    <row r="28" spans="2:9" s="81" customFormat="1" ht="17.149999999999999" customHeight="1" x14ac:dyDescent="0.35">
      <c r="B28" s="76" t="s">
        <v>117</v>
      </c>
      <c r="C28" s="129">
        <v>2550</v>
      </c>
      <c r="D28" s="104">
        <f>D107</f>
        <v>2255</v>
      </c>
      <c r="E28" s="139"/>
      <c r="I28" s="68"/>
    </row>
    <row r="29" spans="2:9" s="81" customFormat="1" ht="17.149999999999999" customHeight="1" x14ac:dyDescent="0.35">
      <c r="B29" s="76" t="s">
        <v>173</v>
      </c>
      <c r="C29" s="127">
        <v>311</v>
      </c>
      <c r="D29" s="104">
        <v>655</v>
      </c>
      <c r="E29" s="110"/>
      <c r="F29" s="135"/>
    </row>
    <row r="30" spans="2:9" s="68" customFormat="1" ht="21.75" customHeight="1" x14ac:dyDescent="0.35">
      <c r="B30" s="90" t="s">
        <v>17</v>
      </c>
      <c r="C30" s="130">
        <f>SUM(C28:C29)</f>
        <v>2861</v>
      </c>
      <c r="D30" s="99">
        <f>SUM(D28:D29)</f>
        <v>2910</v>
      </c>
      <c r="E30" s="140"/>
      <c r="F30" s="141"/>
      <c r="G30" s="141"/>
      <c r="I30" s="81"/>
    </row>
    <row r="31" spans="2:9" s="81" customFormat="1" ht="21.75" customHeight="1" x14ac:dyDescent="0.35">
      <c r="B31" s="88"/>
      <c r="C31" s="88"/>
      <c r="D31" s="88"/>
      <c r="E31" s="140"/>
      <c r="F31" s="141"/>
      <c r="G31" s="141"/>
    </row>
    <row r="32" spans="2:9" ht="25.15" customHeight="1" x14ac:dyDescent="0.35">
      <c r="B32" s="178" t="s">
        <v>171</v>
      </c>
      <c r="C32" s="179"/>
      <c r="D32" s="180"/>
    </row>
    <row r="33" spans="2:9" s="68" customFormat="1" ht="22.5" customHeight="1" x14ac:dyDescent="0.35">
      <c r="B33" s="90" t="s">
        <v>136</v>
      </c>
      <c r="C33" s="128" t="s">
        <v>184</v>
      </c>
      <c r="D33" s="79" t="s">
        <v>189</v>
      </c>
      <c r="I33" s="67"/>
    </row>
    <row r="34" spans="2:9" s="81" customFormat="1" ht="16" customHeight="1" x14ac:dyDescent="0.35">
      <c r="B34" s="89" t="s">
        <v>120</v>
      </c>
      <c r="C34" s="131">
        <v>3</v>
      </c>
      <c r="D34" s="134">
        <v>2</v>
      </c>
      <c r="E34" s="110"/>
      <c r="F34" s="110"/>
      <c r="G34" s="110"/>
      <c r="I34" s="68"/>
    </row>
    <row r="35" spans="2:9" s="81" customFormat="1" ht="16" customHeight="1" x14ac:dyDescent="0.35">
      <c r="B35" s="96" t="s">
        <v>90</v>
      </c>
      <c r="C35" s="132">
        <v>3</v>
      </c>
      <c r="D35" s="134">
        <v>3</v>
      </c>
      <c r="E35" s="110"/>
      <c r="F35" s="110"/>
      <c r="G35" s="110"/>
    </row>
    <row r="36" spans="2:9" s="81" customFormat="1" ht="16" customHeight="1" x14ac:dyDescent="0.35">
      <c r="B36" s="96" t="s">
        <v>91</v>
      </c>
      <c r="C36" s="132">
        <v>10</v>
      </c>
      <c r="D36" s="134">
        <v>32</v>
      </c>
      <c r="E36" s="110"/>
      <c r="F36" s="110"/>
      <c r="G36" s="110"/>
    </row>
    <row r="37" spans="2:9" s="81" customFormat="1" ht="16" customHeight="1" x14ac:dyDescent="0.35">
      <c r="B37" s="96" t="s">
        <v>52</v>
      </c>
      <c r="C37" s="132">
        <v>10</v>
      </c>
      <c r="D37" s="134">
        <v>52</v>
      </c>
      <c r="E37" s="145"/>
      <c r="F37" s="110"/>
      <c r="G37" s="110"/>
    </row>
    <row r="38" spans="2:9" s="81" customFormat="1" ht="16" customHeight="1" x14ac:dyDescent="0.35">
      <c r="B38" s="96" t="s">
        <v>193</v>
      </c>
      <c r="C38" s="132">
        <v>20</v>
      </c>
      <c r="D38" s="134">
        <v>84</v>
      </c>
      <c r="E38" s="110"/>
      <c r="F38" s="110"/>
      <c r="G38" s="110"/>
    </row>
    <row r="39" spans="2:9" s="81" customFormat="1" ht="16" customHeight="1" x14ac:dyDescent="0.35">
      <c r="B39" s="124" t="s">
        <v>93</v>
      </c>
      <c r="C39" s="133">
        <v>10</v>
      </c>
      <c r="D39" s="134">
        <v>135</v>
      </c>
      <c r="E39" s="145"/>
      <c r="F39" s="110"/>
      <c r="G39" s="110"/>
    </row>
    <row r="40" spans="2:9" s="81" customFormat="1" ht="16" customHeight="1" x14ac:dyDescent="0.35">
      <c r="B40" s="96" t="s">
        <v>51</v>
      </c>
      <c r="C40" s="132">
        <v>10</v>
      </c>
      <c r="D40" s="134">
        <v>87</v>
      </c>
      <c r="E40" s="145"/>
      <c r="F40" s="110"/>
      <c r="G40" s="110"/>
    </row>
    <row r="41" spans="2:9" s="81" customFormat="1" ht="16" customHeight="1" x14ac:dyDescent="0.35">
      <c r="B41" s="96" t="s">
        <v>174</v>
      </c>
      <c r="C41" s="132">
        <v>20</v>
      </c>
      <c r="D41" s="134">
        <v>385</v>
      </c>
      <c r="E41" s="110"/>
      <c r="F41" s="110"/>
      <c r="G41" s="110"/>
    </row>
    <row r="42" spans="2:9" s="81" customFormat="1" ht="16" customHeight="1" x14ac:dyDescent="0.35">
      <c r="B42" s="96" t="s">
        <v>194</v>
      </c>
      <c r="C42" s="132">
        <v>10</v>
      </c>
      <c r="D42" s="134">
        <v>11</v>
      </c>
      <c r="E42" s="110"/>
      <c r="F42" s="110"/>
      <c r="G42" s="110"/>
    </row>
    <row r="43" spans="2:9" s="81" customFormat="1" ht="16" customHeight="1" x14ac:dyDescent="0.35">
      <c r="B43" s="96" t="s">
        <v>195</v>
      </c>
      <c r="C43" s="132">
        <v>50</v>
      </c>
      <c r="D43" s="134">
        <v>2854</v>
      </c>
      <c r="E43" s="110"/>
      <c r="F43" s="110"/>
      <c r="G43" s="110"/>
    </row>
    <row r="44" spans="2:9" s="68" customFormat="1" ht="22.5" customHeight="1" x14ac:dyDescent="0.35">
      <c r="B44" s="90" t="s">
        <v>17</v>
      </c>
      <c r="C44" s="128">
        <f>SUM(C34:C43)</f>
        <v>146</v>
      </c>
      <c r="D44" s="90">
        <f>SUM(D34:D43)</f>
        <v>3645</v>
      </c>
      <c r="E44" s="153"/>
      <c r="G44" s="107"/>
      <c r="I44" s="81"/>
    </row>
    <row r="45" spans="2:9" s="68" customFormat="1" ht="22.5" customHeight="1" x14ac:dyDescent="0.35">
      <c r="B45" s="93"/>
      <c r="C45" s="93"/>
      <c r="D45" s="94"/>
      <c r="I45" s="81"/>
    </row>
    <row r="46" spans="2:9" s="68" customFormat="1" ht="22.5" customHeight="1" x14ac:dyDescent="0.35">
      <c r="B46" s="178" t="s">
        <v>170</v>
      </c>
      <c r="C46" s="179"/>
      <c r="D46" s="180"/>
      <c r="I46" s="81"/>
    </row>
    <row r="47" spans="2:9" s="68" customFormat="1" ht="18" customHeight="1" x14ac:dyDescent="0.35">
      <c r="B47" s="90" t="s">
        <v>136</v>
      </c>
      <c r="C47" s="173" t="s">
        <v>196</v>
      </c>
      <c r="D47" s="174"/>
      <c r="I47" s="81"/>
    </row>
    <row r="48" spans="2:9" s="68" customFormat="1" ht="15.5" x14ac:dyDescent="0.35">
      <c r="B48" s="89" t="s">
        <v>120</v>
      </c>
      <c r="C48" s="161">
        <v>16</v>
      </c>
      <c r="D48" s="162"/>
      <c r="I48" s="81"/>
    </row>
    <row r="49" spans="2:9" s="68" customFormat="1" ht="15.5" x14ac:dyDescent="0.35">
      <c r="B49" s="96" t="s">
        <v>90</v>
      </c>
      <c r="C49" s="161">
        <v>34</v>
      </c>
      <c r="D49" s="162"/>
      <c r="I49" s="81"/>
    </row>
    <row r="50" spans="2:9" s="68" customFormat="1" ht="15.5" x14ac:dyDescent="0.35">
      <c r="B50" s="96" t="s">
        <v>91</v>
      </c>
      <c r="C50" s="161">
        <v>71</v>
      </c>
      <c r="D50" s="162"/>
      <c r="I50" s="81"/>
    </row>
    <row r="51" spans="2:9" s="68" customFormat="1" ht="15.5" x14ac:dyDescent="0.35">
      <c r="B51" s="96" t="s">
        <v>52</v>
      </c>
      <c r="C51" s="161">
        <v>133</v>
      </c>
      <c r="D51" s="162"/>
      <c r="I51" s="81"/>
    </row>
    <row r="52" spans="2:9" s="68" customFormat="1" ht="15.5" x14ac:dyDescent="0.35">
      <c r="B52" s="96" t="s">
        <v>250</v>
      </c>
      <c r="C52" s="161">
        <v>102</v>
      </c>
      <c r="D52" s="162"/>
      <c r="I52" s="81"/>
    </row>
    <row r="53" spans="2:9" s="68" customFormat="1" ht="15.5" x14ac:dyDescent="0.35">
      <c r="B53" s="96" t="s">
        <v>93</v>
      </c>
      <c r="C53" s="161">
        <v>252</v>
      </c>
      <c r="D53" s="162"/>
      <c r="I53" s="81"/>
    </row>
    <row r="54" spans="2:9" s="68" customFormat="1" ht="15.5" x14ac:dyDescent="0.35">
      <c r="B54" s="96" t="s">
        <v>51</v>
      </c>
      <c r="C54" s="161">
        <v>168</v>
      </c>
      <c r="D54" s="162"/>
      <c r="I54" s="81"/>
    </row>
    <row r="55" spans="2:9" s="68" customFormat="1" ht="15.5" x14ac:dyDescent="0.35">
      <c r="B55" s="96" t="s">
        <v>174</v>
      </c>
      <c r="C55" s="161">
        <v>609</v>
      </c>
      <c r="D55" s="162"/>
      <c r="I55" s="81"/>
    </row>
    <row r="56" spans="2:9" s="68" customFormat="1" ht="15.5" x14ac:dyDescent="0.35">
      <c r="B56" s="96" t="s">
        <v>194</v>
      </c>
      <c r="C56" s="161">
        <v>13</v>
      </c>
      <c r="D56" s="162"/>
      <c r="I56" s="81"/>
    </row>
    <row r="57" spans="2:9" s="68" customFormat="1" ht="15.5" x14ac:dyDescent="0.35">
      <c r="B57" s="96" t="s">
        <v>195</v>
      </c>
      <c r="C57" s="161">
        <v>450</v>
      </c>
      <c r="D57" s="162"/>
      <c r="I57" s="81"/>
    </row>
    <row r="58" spans="2:9" s="68" customFormat="1" ht="20.25" customHeight="1" x14ac:dyDescent="0.35">
      <c r="B58" s="90" t="s">
        <v>17</v>
      </c>
      <c r="C58" s="185">
        <f>SUM(C48:D57)</f>
        <v>1848</v>
      </c>
      <c r="D58" s="186"/>
      <c r="E58" s="140"/>
      <c r="I58" s="81"/>
    </row>
    <row r="59" spans="2:9" s="68" customFormat="1" ht="19" customHeight="1" x14ac:dyDescent="0.35">
      <c r="B59" s="93"/>
      <c r="C59" s="93"/>
      <c r="D59" s="94"/>
      <c r="I59" s="81"/>
    </row>
    <row r="60" spans="2:9" ht="23.25" customHeight="1" x14ac:dyDescent="0.35">
      <c r="B60" s="178" t="s">
        <v>175</v>
      </c>
      <c r="C60" s="179"/>
      <c r="D60" s="180"/>
      <c r="E60" s="91"/>
      <c r="I60" s="68"/>
    </row>
    <row r="61" spans="2:9" ht="21.75" customHeight="1" x14ac:dyDescent="0.35">
      <c r="B61" s="90" t="s">
        <v>176</v>
      </c>
      <c r="C61" s="173" t="s">
        <v>189</v>
      </c>
      <c r="D61" s="174"/>
      <c r="E61" s="91"/>
      <c r="I61" s="68"/>
    </row>
    <row r="62" spans="2:9" ht="15.75" customHeight="1" x14ac:dyDescent="0.35">
      <c r="B62" s="154" t="s">
        <v>198</v>
      </c>
      <c r="C62" s="161">
        <v>84</v>
      </c>
      <c r="D62" s="162"/>
      <c r="E62" s="91"/>
      <c r="I62" s="68"/>
    </row>
    <row r="63" spans="2:9" ht="15.75" customHeight="1" x14ac:dyDescent="0.35">
      <c r="B63" s="154" t="s">
        <v>199</v>
      </c>
      <c r="C63" s="163">
        <v>14278</v>
      </c>
      <c r="D63" s="162"/>
      <c r="E63" s="91"/>
      <c r="I63" s="68"/>
    </row>
    <row r="64" spans="2:9" ht="15.75" customHeight="1" x14ac:dyDescent="0.35">
      <c r="B64" s="154" t="s">
        <v>200</v>
      </c>
      <c r="C64" s="161">
        <v>178</v>
      </c>
      <c r="D64" s="162"/>
      <c r="E64" s="91"/>
      <c r="I64" s="68"/>
    </row>
    <row r="65" spans="2:9" ht="15.75" customHeight="1" x14ac:dyDescent="0.35">
      <c r="B65" s="154" t="s">
        <v>120</v>
      </c>
      <c r="C65" s="161">
        <v>5</v>
      </c>
      <c r="D65" s="162"/>
      <c r="E65" s="91"/>
      <c r="I65" s="68"/>
    </row>
    <row r="66" spans="2:9" ht="15.75" customHeight="1" x14ac:dyDescent="0.35">
      <c r="B66" s="154" t="s">
        <v>90</v>
      </c>
      <c r="C66" s="161">
        <v>0</v>
      </c>
      <c r="D66" s="162"/>
      <c r="E66" s="91"/>
      <c r="I66" s="68"/>
    </row>
    <row r="67" spans="2:9" ht="15.75" customHeight="1" x14ac:dyDescent="0.35">
      <c r="B67" s="155" t="s">
        <v>92</v>
      </c>
      <c r="C67" s="161">
        <v>60</v>
      </c>
      <c r="D67" s="162"/>
      <c r="E67" s="91"/>
      <c r="I67" s="68"/>
    </row>
    <row r="68" spans="2:9" ht="15.75" customHeight="1" x14ac:dyDescent="0.35">
      <c r="B68" s="155" t="s">
        <v>201</v>
      </c>
      <c r="C68" s="161">
        <v>1</v>
      </c>
      <c r="D68" s="162"/>
      <c r="E68" s="91"/>
      <c r="I68" s="68"/>
    </row>
    <row r="69" spans="2:9" ht="15.75" customHeight="1" x14ac:dyDescent="0.35">
      <c r="B69" s="155" t="s">
        <v>52</v>
      </c>
      <c r="C69" s="161">
        <v>0</v>
      </c>
      <c r="D69" s="162"/>
      <c r="E69" s="91"/>
      <c r="I69" s="68"/>
    </row>
    <row r="70" spans="2:9" ht="15.75" customHeight="1" x14ac:dyDescent="0.35">
      <c r="B70" s="155" t="s">
        <v>194</v>
      </c>
      <c r="C70" s="161">
        <v>34</v>
      </c>
      <c r="D70" s="162"/>
      <c r="E70" s="91"/>
      <c r="I70" s="68"/>
    </row>
    <row r="71" spans="2:9" ht="15.75" customHeight="1" x14ac:dyDescent="0.35">
      <c r="B71" s="155" t="s">
        <v>91</v>
      </c>
      <c r="C71" s="161">
        <v>30</v>
      </c>
      <c r="D71" s="162"/>
      <c r="E71" s="91"/>
      <c r="I71" s="68"/>
    </row>
    <row r="72" spans="2:9" ht="15.75" customHeight="1" x14ac:dyDescent="0.35">
      <c r="B72" s="155" t="s">
        <v>202</v>
      </c>
      <c r="C72" s="163">
        <v>2200</v>
      </c>
      <c r="D72" s="162"/>
      <c r="E72" s="91"/>
      <c r="I72" s="68"/>
    </row>
    <row r="73" spans="2:9" ht="15.75" customHeight="1" x14ac:dyDescent="0.35">
      <c r="B73" s="155" t="s">
        <v>203</v>
      </c>
      <c r="C73" s="161">
        <v>307</v>
      </c>
      <c r="D73" s="162"/>
      <c r="E73" s="91"/>
      <c r="I73" s="68"/>
    </row>
    <row r="74" spans="2:9" ht="15.75" customHeight="1" x14ac:dyDescent="0.35">
      <c r="B74" s="155" t="s">
        <v>93</v>
      </c>
      <c r="C74" s="161">
        <v>301</v>
      </c>
      <c r="D74" s="162"/>
      <c r="E74" s="91"/>
      <c r="I74" s="68"/>
    </row>
    <row r="75" spans="2:9" ht="15.75" customHeight="1" x14ac:dyDescent="0.35">
      <c r="B75" s="155" t="s">
        <v>204</v>
      </c>
      <c r="C75" s="163">
        <v>2165</v>
      </c>
      <c r="D75" s="162"/>
      <c r="E75" s="91"/>
      <c r="I75" s="68"/>
    </row>
    <row r="76" spans="2:9" ht="15.75" customHeight="1" x14ac:dyDescent="0.35">
      <c r="B76" s="155" t="s">
        <v>205</v>
      </c>
      <c r="C76" s="161">
        <v>590</v>
      </c>
      <c r="D76" s="162"/>
      <c r="E76" s="91"/>
      <c r="I76" s="68"/>
    </row>
    <row r="77" spans="2:9" ht="15.75" customHeight="1" x14ac:dyDescent="0.35">
      <c r="B77" s="155" t="s">
        <v>206</v>
      </c>
      <c r="C77" s="161">
        <v>30</v>
      </c>
      <c r="D77" s="162"/>
      <c r="E77" s="91"/>
      <c r="I77" s="68"/>
    </row>
    <row r="78" spans="2:9" ht="15.75" customHeight="1" x14ac:dyDescent="0.35">
      <c r="B78" s="155" t="s">
        <v>207</v>
      </c>
      <c r="C78" s="161">
        <v>24</v>
      </c>
      <c r="D78" s="162"/>
      <c r="E78" s="91"/>
      <c r="I78" s="68"/>
    </row>
    <row r="79" spans="2:9" ht="15.75" customHeight="1" x14ac:dyDescent="0.35">
      <c r="B79" s="155" t="s">
        <v>208</v>
      </c>
      <c r="C79" s="163">
        <v>3628</v>
      </c>
      <c r="D79" s="162"/>
      <c r="E79" s="91"/>
      <c r="I79" s="68"/>
    </row>
    <row r="80" spans="2:9" ht="15.75" customHeight="1" x14ac:dyDescent="0.35">
      <c r="B80" s="155" t="s">
        <v>209</v>
      </c>
      <c r="C80" s="161">
        <v>0</v>
      </c>
      <c r="D80" s="162"/>
      <c r="E80" s="91"/>
      <c r="I80" s="68"/>
    </row>
    <row r="81" spans="2:9" ht="20.25" customHeight="1" x14ac:dyDescent="0.35">
      <c r="B81" s="90" t="s">
        <v>17</v>
      </c>
      <c r="C81" s="185">
        <f>SUM(C62:D80)</f>
        <v>23915</v>
      </c>
      <c r="D81" s="186"/>
      <c r="E81" s="140"/>
      <c r="F81" s="141"/>
      <c r="G81" s="141"/>
      <c r="I81" s="68"/>
    </row>
    <row r="82" spans="2:9" ht="20.25" customHeight="1" x14ac:dyDescent="0.35">
      <c r="B82" s="88"/>
      <c r="C82" s="88"/>
      <c r="D82" s="88"/>
      <c r="E82" s="91"/>
      <c r="I82" s="68"/>
    </row>
    <row r="83" spans="2:9" ht="25.15" customHeight="1" x14ac:dyDescent="0.35">
      <c r="B83" s="166" t="s">
        <v>137</v>
      </c>
      <c r="C83" s="166"/>
      <c r="D83" s="166"/>
    </row>
    <row r="84" spans="2:9" s="68" customFormat="1" ht="22.5" customHeight="1" x14ac:dyDescent="0.35">
      <c r="B84" s="90" t="s">
        <v>138</v>
      </c>
      <c r="C84" s="128" t="s">
        <v>184</v>
      </c>
      <c r="D84" s="79" t="s">
        <v>189</v>
      </c>
      <c r="I84" s="67"/>
    </row>
    <row r="85" spans="2:9" s="81" customFormat="1" ht="16" customHeight="1" x14ac:dyDescent="0.35">
      <c r="B85" s="87" t="s">
        <v>94</v>
      </c>
      <c r="C85" s="175">
        <v>2550</v>
      </c>
      <c r="D85" s="134">
        <v>88</v>
      </c>
      <c r="E85" s="109"/>
      <c r="I85" s="68"/>
    </row>
    <row r="86" spans="2:9" s="81" customFormat="1" ht="16" customHeight="1" x14ac:dyDescent="0.35">
      <c r="B86" s="87" t="s">
        <v>172</v>
      </c>
      <c r="C86" s="176"/>
      <c r="D86" s="134">
        <v>172</v>
      </c>
      <c r="E86" s="146"/>
    </row>
    <row r="87" spans="2:9" s="81" customFormat="1" ht="16" customHeight="1" x14ac:dyDescent="0.35">
      <c r="B87" s="87" t="s">
        <v>95</v>
      </c>
      <c r="C87" s="176"/>
      <c r="D87" s="134">
        <v>332</v>
      </c>
      <c r="E87" s="109"/>
    </row>
    <row r="88" spans="2:9" s="81" customFormat="1" ht="16" customHeight="1" x14ac:dyDescent="0.35">
      <c r="B88" s="87" t="s">
        <v>177</v>
      </c>
      <c r="C88" s="176"/>
      <c r="D88" s="134">
        <v>0</v>
      </c>
      <c r="E88" s="109"/>
    </row>
    <row r="89" spans="2:9" s="81" customFormat="1" ht="16" customHeight="1" x14ac:dyDescent="0.35">
      <c r="B89" s="87" t="s">
        <v>197</v>
      </c>
      <c r="C89" s="176"/>
      <c r="D89" s="134">
        <v>0</v>
      </c>
      <c r="E89" s="109"/>
    </row>
    <row r="90" spans="2:9" s="81" customFormat="1" ht="16" customHeight="1" x14ac:dyDescent="0.35">
      <c r="B90" s="87" t="s">
        <v>162</v>
      </c>
      <c r="C90" s="176"/>
      <c r="D90" s="134">
        <v>19</v>
      </c>
      <c r="E90" s="109"/>
    </row>
    <row r="91" spans="2:9" s="81" customFormat="1" ht="16" customHeight="1" x14ac:dyDescent="0.35">
      <c r="B91" s="87" t="s">
        <v>178</v>
      </c>
      <c r="C91" s="176"/>
      <c r="D91" s="134">
        <v>56</v>
      </c>
      <c r="E91" s="109"/>
    </row>
    <row r="92" spans="2:9" s="81" customFormat="1" ht="16" customHeight="1" x14ac:dyDescent="0.35">
      <c r="B92" s="87" t="s">
        <v>96</v>
      </c>
      <c r="C92" s="176"/>
      <c r="D92" s="134">
        <v>77</v>
      </c>
      <c r="E92" s="122"/>
    </row>
    <row r="93" spans="2:9" s="81" customFormat="1" ht="16" customHeight="1" x14ac:dyDescent="0.35">
      <c r="B93" s="87" t="s">
        <v>97</v>
      </c>
      <c r="C93" s="176"/>
      <c r="D93" s="134">
        <v>292</v>
      </c>
      <c r="E93" s="136"/>
    </row>
    <row r="94" spans="2:9" s="81" customFormat="1" ht="16" customHeight="1" x14ac:dyDescent="0.35">
      <c r="B94" s="87" t="s">
        <v>179</v>
      </c>
      <c r="C94" s="176"/>
      <c r="D94" s="134">
        <v>59</v>
      </c>
      <c r="E94" s="136"/>
    </row>
    <row r="95" spans="2:9" s="81" customFormat="1" ht="16" customHeight="1" x14ac:dyDescent="0.35">
      <c r="B95" s="87" t="s">
        <v>98</v>
      </c>
      <c r="C95" s="176"/>
      <c r="D95" s="134">
        <v>68</v>
      </c>
      <c r="E95" s="109"/>
    </row>
    <row r="96" spans="2:9" s="81" customFormat="1" ht="16" customHeight="1" x14ac:dyDescent="0.35">
      <c r="B96" s="87" t="s">
        <v>99</v>
      </c>
      <c r="C96" s="176"/>
      <c r="D96" s="134">
        <v>17</v>
      </c>
      <c r="E96" s="109"/>
    </row>
    <row r="97" spans="2:9" s="81" customFormat="1" ht="16" customHeight="1" x14ac:dyDescent="0.35">
      <c r="B97" s="87" t="s">
        <v>100</v>
      </c>
      <c r="C97" s="176"/>
      <c r="D97" s="134">
        <v>88</v>
      </c>
      <c r="E97" s="109"/>
    </row>
    <row r="98" spans="2:9" s="81" customFormat="1" ht="16" customHeight="1" x14ac:dyDescent="0.35">
      <c r="B98" s="87" t="s">
        <v>101</v>
      </c>
      <c r="C98" s="176"/>
      <c r="D98" s="134">
        <f>8+22+126</f>
        <v>156</v>
      </c>
      <c r="E98" s="110"/>
    </row>
    <row r="99" spans="2:9" s="81" customFormat="1" ht="16" customHeight="1" x14ac:dyDescent="0.35">
      <c r="B99" s="87" t="s">
        <v>102</v>
      </c>
      <c r="C99" s="176"/>
      <c r="D99" s="134">
        <v>0</v>
      </c>
      <c r="E99" s="109"/>
    </row>
    <row r="100" spans="2:9" s="81" customFormat="1" ht="16" customHeight="1" x14ac:dyDescent="0.35">
      <c r="B100" s="87" t="s">
        <v>103</v>
      </c>
      <c r="C100" s="176"/>
      <c r="D100" s="134">
        <v>329</v>
      </c>
      <c r="E100" s="110"/>
    </row>
    <row r="101" spans="2:9" s="81" customFormat="1" ht="16" customHeight="1" x14ac:dyDescent="0.35">
      <c r="B101" s="87" t="s">
        <v>104</v>
      </c>
      <c r="C101" s="176"/>
      <c r="D101" s="134">
        <v>189</v>
      </c>
      <c r="E101" s="109"/>
    </row>
    <row r="102" spans="2:9" s="81" customFormat="1" ht="16" customHeight="1" x14ac:dyDescent="0.35">
      <c r="B102" s="87" t="s">
        <v>105</v>
      </c>
      <c r="C102" s="176"/>
      <c r="D102" s="134">
        <v>83</v>
      </c>
      <c r="E102" s="109"/>
    </row>
    <row r="103" spans="2:9" s="81" customFormat="1" ht="16" customHeight="1" x14ac:dyDescent="0.35">
      <c r="B103" s="87" t="s">
        <v>106</v>
      </c>
      <c r="C103" s="176"/>
      <c r="D103" s="134">
        <v>58</v>
      </c>
      <c r="E103" s="109"/>
    </row>
    <row r="104" spans="2:9" s="81" customFormat="1" ht="16" customHeight="1" x14ac:dyDescent="0.35">
      <c r="B104" s="87" t="s">
        <v>107</v>
      </c>
      <c r="C104" s="176"/>
      <c r="D104" s="134">
        <v>149</v>
      </c>
      <c r="E104" s="109"/>
    </row>
    <row r="105" spans="2:9" s="81" customFormat="1" ht="16" customHeight="1" x14ac:dyDescent="0.35">
      <c r="B105" s="87" t="s">
        <v>163</v>
      </c>
      <c r="C105" s="176"/>
      <c r="D105" s="134">
        <v>23</v>
      </c>
      <c r="E105" s="109"/>
    </row>
    <row r="106" spans="2:9" s="81" customFormat="1" ht="16" customHeight="1" x14ac:dyDescent="0.35">
      <c r="B106" s="106" t="s">
        <v>180</v>
      </c>
      <c r="C106" s="176"/>
      <c r="D106" s="118">
        <v>0</v>
      </c>
      <c r="E106" s="109"/>
    </row>
    <row r="107" spans="2:9" s="68" customFormat="1" ht="19.5" customHeight="1" x14ac:dyDescent="0.35">
      <c r="B107" s="90" t="s">
        <v>17</v>
      </c>
      <c r="C107" s="177"/>
      <c r="D107" s="125">
        <f>SUM(D85:D106)</f>
        <v>2255</v>
      </c>
      <c r="E107" s="140"/>
      <c r="I107" s="81"/>
    </row>
    <row r="108" spans="2:9" ht="12" customHeight="1" x14ac:dyDescent="0.35">
      <c r="B108" s="88"/>
      <c r="C108" s="88"/>
      <c r="D108" s="88"/>
      <c r="E108" s="91"/>
      <c r="I108" s="68"/>
    </row>
    <row r="109" spans="2:9" ht="20.25" customHeight="1" x14ac:dyDescent="0.35">
      <c r="G109" s="123"/>
      <c r="I109" s="68"/>
    </row>
    <row r="110" spans="2:9" ht="15.5" x14ac:dyDescent="0.35">
      <c r="B110" s="166" t="s">
        <v>130</v>
      </c>
      <c r="C110" s="166"/>
      <c r="D110" s="166"/>
      <c r="I110" s="68"/>
    </row>
    <row r="111" spans="2:9" ht="19.5" customHeight="1" x14ac:dyDescent="0.35">
      <c r="B111" s="90" t="s">
        <v>131</v>
      </c>
      <c r="C111" s="173" t="s">
        <v>189</v>
      </c>
      <c r="D111" s="174"/>
    </row>
    <row r="112" spans="2:9" ht="17.25" customHeight="1" x14ac:dyDescent="0.35">
      <c r="B112" s="76" t="s">
        <v>132</v>
      </c>
      <c r="C112" s="171">
        <v>873</v>
      </c>
      <c r="D112" s="172"/>
    </row>
    <row r="113" spans="2:5" ht="20.25" customHeight="1" x14ac:dyDescent="0.35">
      <c r="B113" s="90" t="s">
        <v>17</v>
      </c>
      <c r="C113" s="167">
        <f>SUM(C112:D112)</f>
        <v>873</v>
      </c>
      <c r="D113" s="168"/>
      <c r="E113" s="115"/>
    </row>
    <row r="114" spans="2:5" ht="22.5" customHeight="1" x14ac:dyDescent="0.35"/>
    <row r="115" spans="2:5" ht="15.5" x14ac:dyDescent="0.35">
      <c r="B115" s="182" t="s">
        <v>134</v>
      </c>
      <c r="C115" s="182"/>
      <c r="D115" s="182"/>
    </row>
    <row r="116" spans="2:5" ht="21" customHeight="1" x14ac:dyDescent="0.35">
      <c r="B116" s="90" t="s">
        <v>135</v>
      </c>
      <c r="C116" s="173" t="s">
        <v>189</v>
      </c>
      <c r="D116" s="174"/>
    </row>
    <row r="117" spans="2:5" x14ac:dyDescent="0.35">
      <c r="B117" s="89" t="s">
        <v>121</v>
      </c>
      <c r="C117" s="164">
        <v>20</v>
      </c>
      <c r="D117" s="165"/>
    </row>
    <row r="118" spans="2:5" x14ac:dyDescent="0.35">
      <c r="B118" s="89" t="s">
        <v>122</v>
      </c>
      <c r="C118" s="164">
        <v>411</v>
      </c>
      <c r="D118" s="165"/>
    </row>
    <row r="119" spans="2:5" x14ac:dyDescent="0.35">
      <c r="B119" s="89" t="s">
        <v>123</v>
      </c>
      <c r="C119" s="164">
        <v>2302</v>
      </c>
      <c r="D119" s="165"/>
    </row>
    <row r="120" spans="2:5" x14ac:dyDescent="0.35">
      <c r="B120" s="89" t="s">
        <v>124</v>
      </c>
      <c r="C120" s="164">
        <v>693</v>
      </c>
      <c r="D120" s="165"/>
    </row>
    <row r="121" spans="2:5" x14ac:dyDescent="0.35">
      <c r="B121" s="89" t="s">
        <v>125</v>
      </c>
      <c r="C121" s="164">
        <v>14</v>
      </c>
      <c r="D121" s="165"/>
    </row>
    <row r="122" spans="2:5" x14ac:dyDescent="0.35">
      <c r="B122" s="89" t="s">
        <v>182</v>
      </c>
      <c r="C122" s="164">
        <v>11</v>
      </c>
      <c r="D122" s="165"/>
    </row>
    <row r="123" spans="2:5" ht="18" customHeight="1" x14ac:dyDescent="0.35">
      <c r="B123" s="90" t="s">
        <v>17</v>
      </c>
      <c r="C123" s="167">
        <f>SUM(C117:D122)</f>
        <v>3451</v>
      </c>
      <c r="D123" s="168"/>
      <c r="E123" s="119"/>
    </row>
    <row r="124" spans="2:5" ht="15.5" x14ac:dyDescent="0.35">
      <c r="B124" s="76" t="s">
        <v>118</v>
      </c>
      <c r="C124" s="169">
        <f>C123</f>
        <v>3451</v>
      </c>
      <c r="D124" s="170"/>
    </row>
    <row r="125" spans="2:5" ht="15.5" x14ac:dyDescent="0.35">
      <c r="B125" s="76" t="s">
        <v>119</v>
      </c>
      <c r="C125" s="169">
        <v>0</v>
      </c>
      <c r="D125" s="170"/>
    </row>
    <row r="126" spans="2:5" x14ac:dyDescent="0.35">
      <c r="B126" s="112"/>
      <c r="C126" s="112"/>
      <c r="D126" s="112"/>
    </row>
    <row r="127" spans="2:5" ht="15.5" x14ac:dyDescent="0.35">
      <c r="B127" s="166" t="s">
        <v>210</v>
      </c>
      <c r="C127" s="166"/>
      <c r="D127" s="166"/>
    </row>
    <row r="128" spans="2:5" ht="26.25" customHeight="1" x14ac:dyDescent="0.35">
      <c r="B128" s="90" t="s">
        <v>211</v>
      </c>
      <c r="C128" s="128" t="s">
        <v>184</v>
      </c>
      <c r="D128" s="79" t="s">
        <v>189</v>
      </c>
    </row>
    <row r="129" spans="2:5" ht="56.25" customHeight="1" x14ac:dyDescent="0.35">
      <c r="B129" s="158" t="s">
        <v>212</v>
      </c>
      <c r="C129" s="129" t="s">
        <v>215</v>
      </c>
      <c r="D129" s="159">
        <v>1</v>
      </c>
    </row>
    <row r="130" spans="2:5" ht="55.5" customHeight="1" x14ac:dyDescent="0.35">
      <c r="B130" s="158" t="s">
        <v>213</v>
      </c>
      <c r="C130" s="129" t="s">
        <v>216</v>
      </c>
      <c r="D130" s="159">
        <v>1</v>
      </c>
    </row>
    <row r="131" spans="2:5" ht="46.5" x14ac:dyDescent="0.35">
      <c r="B131" s="158" t="s">
        <v>214</v>
      </c>
      <c r="C131" s="127" t="s">
        <v>217</v>
      </c>
      <c r="D131" s="159">
        <v>1</v>
      </c>
    </row>
    <row r="132" spans="2:5" x14ac:dyDescent="0.35">
      <c r="B132" s="112"/>
      <c r="C132" s="112"/>
      <c r="D132" s="112"/>
    </row>
    <row r="133" spans="2:5" x14ac:dyDescent="0.35">
      <c r="B133" s="112"/>
      <c r="C133" s="112"/>
      <c r="D133" s="112"/>
    </row>
    <row r="134" spans="2:5" x14ac:dyDescent="0.35">
      <c r="B134" s="112"/>
      <c r="C134" s="112"/>
      <c r="D134" s="112"/>
    </row>
    <row r="135" spans="2:5" x14ac:dyDescent="0.35">
      <c r="B135" s="112"/>
      <c r="C135" s="112"/>
      <c r="D135" s="112"/>
    </row>
    <row r="136" spans="2:5" x14ac:dyDescent="0.35">
      <c r="B136" s="112"/>
      <c r="C136" s="112"/>
      <c r="D136" s="112"/>
    </row>
    <row r="137" spans="2:5" x14ac:dyDescent="0.35">
      <c r="B137" s="112"/>
      <c r="C137" s="112"/>
      <c r="D137" s="112"/>
    </row>
    <row r="139" spans="2:5" ht="15.5" x14ac:dyDescent="0.35">
      <c r="B139" s="183" t="s">
        <v>187</v>
      </c>
      <c r="C139" s="183"/>
      <c r="D139" s="183"/>
      <c r="E139" s="105"/>
    </row>
    <row r="140" spans="2:5" ht="16.5" customHeight="1" x14ac:dyDescent="0.35">
      <c r="B140" s="184" t="s">
        <v>188</v>
      </c>
      <c r="C140" s="184"/>
      <c r="D140" s="184"/>
      <c r="E140" s="80"/>
    </row>
    <row r="141" spans="2:5" ht="15.75" customHeight="1" x14ac:dyDescent="0.35">
      <c r="B141" s="184" t="s">
        <v>161</v>
      </c>
      <c r="C141" s="184"/>
      <c r="D141" s="184"/>
      <c r="E141" s="80"/>
    </row>
    <row r="142" spans="2:5" ht="15.5" x14ac:dyDescent="0.35">
      <c r="B142" s="181"/>
      <c r="C142" s="181"/>
      <c r="D142" s="181"/>
      <c r="E142" s="80"/>
    </row>
  </sheetData>
  <sortState xmlns:xlrd2="http://schemas.microsoft.com/office/spreadsheetml/2017/richdata2" ref="B34:D41">
    <sortCondition ref="B34:B41"/>
  </sortState>
  <mergeCells count="65">
    <mergeCell ref="E12:H12"/>
    <mergeCell ref="C47:D47"/>
    <mergeCell ref="B1:D1"/>
    <mergeCell ref="B3:D3"/>
    <mergeCell ref="B10:D10"/>
    <mergeCell ref="E13:G14"/>
    <mergeCell ref="C48:D48"/>
    <mergeCell ref="C49:D49"/>
    <mergeCell ref="C58:D58"/>
    <mergeCell ref="C50:D50"/>
    <mergeCell ref="C51:D51"/>
    <mergeCell ref="C52:D52"/>
    <mergeCell ref="C56:D56"/>
    <mergeCell ref="C57:D57"/>
    <mergeCell ref="B142:D142"/>
    <mergeCell ref="B17:D17"/>
    <mergeCell ref="B26:D26"/>
    <mergeCell ref="B115:D115"/>
    <mergeCell ref="B32:D32"/>
    <mergeCell ref="B83:D83"/>
    <mergeCell ref="B139:D139"/>
    <mergeCell ref="B46:D46"/>
    <mergeCell ref="B141:D141"/>
    <mergeCell ref="B140:D140"/>
    <mergeCell ref="C55:D55"/>
    <mergeCell ref="B110:D110"/>
    <mergeCell ref="C53:D53"/>
    <mergeCell ref="C54:D54"/>
    <mergeCell ref="C81:D81"/>
    <mergeCell ref="C61:D61"/>
    <mergeCell ref="B60:D60"/>
    <mergeCell ref="C111:D11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8:D78"/>
    <mergeCell ref="C79:D79"/>
    <mergeCell ref="C80:D80"/>
    <mergeCell ref="C112:D112"/>
    <mergeCell ref="C113:D113"/>
    <mergeCell ref="C116:D116"/>
    <mergeCell ref="C117:D117"/>
    <mergeCell ref="C85:C107"/>
    <mergeCell ref="C118:D118"/>
    <mergeCell ref="C119:D119"/>
    <mergeCell ref="C120:D120"/>
    <mergeCell ref="C121:D121"/>
    <mergeCell ref="B127:D127"/>
    <mergeCell ref="C122:D122"/>
    <mergeCell ref="C123:D123"/>
    <mergeCell ref="C124:D124"/>
    <mergeCell ref="C125:D125"/>
    <mergeCell ref="C73:D73"/>
    <mergeCell ref="C74:D74"/>
    <mergeCell ref="C75:D75"/>
    <mergeCell ref="C76:D76"/>
    <mergeCell ref="C77:D77"/>
  </mergeCells>
  <pageMargins left="0.78740157480314965" right="0.70866141732283472" top="0.61" bottom="0.19" header="0.39370078740157483" footer="0.15748031496062992"/>
  <pageSetup paperSize="9" scale="78" firstPageNumber="0" fitToHeight="0" orientation="portrait" useFirstPageNumber="1" horizontalDpi="300" verticalDpi="300" r:id="rId1"/>
  <rowBreaks count="4" manualBreakCount="4">
    <brk id="31" min="1" max="2" man="1"/>
    <brk id="82" min="1" max="2" man="1"/>
    <brk id="108" min="1" max="2" man="1"/>
    <brk id="82" min="1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N67"/>
  <sheetViews>
    <sheetView showGridLines="0" tabSelected="1" view="pageBreakPreview" zoomScale="90" zoomScaleNormal="90" zoomScaleSheetLayoutView="90" workbookViewId="0">
      <pane ySplit="4" topLeftCell="A49" activePane="bottomLeft" state="frozen"/>
      <selection pane="bottomLeft" activeCell="D49" sqref="D49"/>
    </sheetView>
  </sheetViews>
  <sheetFormatPr defaultColWidth="9" defaultRowHeight="14.5" x14ac:dyDescent="0.35"/>
  <cols>
    <col min="1" max="1" width="1.81640625" style="67" customWidth="1"/>
    <col min="2" max="2" width="90.1796875" style="75" customWidth="1"/>
    <col min="3" max="3" width="20.7265625" style="74" customWidth="1"/>
    <col min="4" max="4" width="19.7265625" style="74" customWidth="1"/>
    <col min="5" max="5" width="9" style="67"/>
    <col min="6" max="6" width="9.453125" style="67" bestFit="1" customWidth="1"/>
    <col min="7" max="16384" width="9" style="67"/>
  </cols>
  <sheetData>
    <row r="1" spans="1:14" ht="11.5" customHeight="1" x14ac:dyDescent="0.35"/>
    <row r="2" spans="1:14" ht="101.5" customHeight="1" x14ac:dyDescent="0.35">
      <c r="B2" s="190"/>
      <c r="C2" s="190"/>
      <c r="D2" s="190"/>
    </row>
    <row r="3" spans="1:14" ht="22.9" customHeight="1" x14ac:dyDescent="0.35">
      <c r="B3" s="191" t="s">
        <v>139</v>
      </c>
      <c r="C3" s="191"/>
      <c r="D3" s="191"/>
    </row>
    <row r="4" spans="1:14" s="69" customFormat="1" ht="27.65" customHeight="1" x14ac:dyDescent="0.35">
      <c r="A4" s="67"/>
      <c r="B4" s="78" t="s">
        <v>140</v>
      </c>
      <c r="C4" s="78" t="s">
        <v>141</v>
      </c>
      <c r="D4" s="103" t="s">
        <v>218</v>
      </c>
      <c r="E4" s="137"/>
    </row>
    <row r="5" spans="1:14" s="84" customFormat="1" ht="26.15" customHeight="1" x14ac:dyDescent="0.35">
      <c r="B5" s="71" t="s">
        <v>142</v>
      </c>
      <c r="C5" s="86">
        <v>0.9</v>
      </c>
      <c r="D5" s="113">
        <f>IFERROR((D6/D7),"")</f>
        <v>0.88540540540540535</v>
      </c>
    </row>
    <row r="6" spans="1:14" s="85" customFormat="1" ht="26.15" customHeight="1" x14ac:dyDescent="0.35">
      <c r="B6" s="72" t="s">
        <v>143</v>
      </c>
      <c r="C6" s="70"/>
      <c r="D6" s="147">
        <f>543+514+866+514+411+281+144+3</f>
        <v>3276</v>
      </c>
      <c r="E6" s="101"/>
    </row>
    <row r="7" spans="1:14" s="85" customFormat="1" ht="26.15" customHeight="1" x14ac:dyDescent="0.35">
      <c r="B7" s="72" t="s">
        <v>144</v>
      </c>
      <c r="C7" s="70"/>
      <c r="D7" s="148">
        <f>146*30-680</f>
        <v>3700</v>
      </c>
      <c r="E7" s="101"/>
    </row>
    <row r="8" spans="1:14" s="84" customFormat="1" ht="26.15" customHeight="1" x14ac:dyDescent="0.35">
      <c r="B8" s="71" t="s">
        <v>145</v>
      </c>
      <c r="C8" s="86" t="s">
        <v>220</v>
      </c>
      <c r="D8" s="114">
        <f>IFERROR((D9/D10),"")</f>
        <v>4.9189189189189193</v>
      </c>
    </row>
    <row r="9" spans="1:14" s="85" customFormat="1" ht="26.15" customHeight="1" x14ac:dyDescent="0.35">
      <c r="B9" s="72" t="s">
        <v>146</v>
      </c>
      <c r="C9" s="70"/>
      <c r="D9" s="147">
        <f>D6</f>
        <v>3276</v>
      </c>
      <c r="E9" s="101"/>
      <c r="F9" s="97"/>
    </row>
    <row r="10" spans="1:14" s="85" customFormat="1" ht="26.15" customHeight="1" x14ac:dyDescent="0.35">
      <c r="B10" s="72" t="s">
        <v>147</v>
      </c>
      <c r="C10" s="70"/>
      <c r="D10" s="149">
        <f>715-12-2-1-34</f>
        <v>666</v>
      </c>
      <c r="E10" s="101"/>
    </row>
    <row r="11" spans="1:14" s="84" customFormat="1" ht="26.15" customHeight="1" x14ac:dyDescent="0.35">
      <c r="B11" s="71" t="s">
        <v>148</v>
      </c>
      <c r="C11" s="77" t="s">
        <v>221</v>
      </c>
      <c r="D11" s="114">
        <f>((100-(D5*100))*(D8*24))/(D5*100)</f>
        <v>15.279279279279292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</row>
    <row r="12" spans="1:14" s="85" customFormat="1" ht="26.15" customHeight="1" x14ac:dyDescent="0.35">
      <c r="B12" s="72" t="s">
        <v>53</v>
      </c>
      <c r="C12" s="70"/>
      <c r="D12" s="150">
        <f>D5</f>
        <v>0.88540540540540535</v>
      </c>
      <c r="E12" s="142"/>
    </row>
    <row r="13" spans="1:14" s="85" customFormat="1" ht="26.15" customHeight="1" x14ac:dyDescent="0.35">
      <c r="B13" s="72" t="s">
        <v>149</v>
      </c>
      <c r="C13" s="70"/>
      <c r="D13" s="151">
        <f>D8</f>
        <v>4.9189189189189193</v>
      </c>
    </row>
    <row r="14" spans="1:14" s="85" customFormat="1" ht="26.15" customHeight="1" x14ac:dyDescent="0.45">
      <c r="B14" s="71" t="s">
        <v>164</v>
      </c>
      <c r="C14" s="86" t="s">
        <v>128</v>
      </c>
      <c r="D14" s="117">
        <f>IFERROR((D15/D16),"")</f>
        <v>0</v>
      </c>
      <c r="E14" s="143"/>
    </row>
    <row r="15" spans="1:14" s="85" customFormat="1" ht="26.15" customHeight="1" x14ac:dyDescent="0.35">
      <c r="B15" s="72" t="s">
        <v>150</v>
      </c>
      <c r="C15" s="70"/>
      <c r="D15" s="147">
        <v>0</v>
      </c>
      <c r="F15" s="98"/>
    </row>
    <row r="16" spans="1:14" s="85" customFormat="1" ht="26.15" customHeight="1" x14ac:dyDescent="0.35">
      <c r="B16" s="144" t="s">
        <v>151</v>
      </c>
      <c r="C16" s="70"/>
      <c r="D16" s="147">
        <f>3+62+1+16</f>
        <v>82</v>
      </c>
      <c r="E16" s="101"/>
    </row>
    <row r="17" spans="2:5" s="84" customFormat="1" ht="26.15" customHeight="1" x14ac:dyDescent="0.35">
      <c r="B17" s="71" t="s">
        <v>165</v>
      </c>
      <c r="C17" s="86" t="s">
        <v>222</v>
      </c>
      <c r="D17" s="113">
        <f>D18/D19</f>
        <v>4.6896551724137932E-2</v>
      </c>
    </row>
    <row r="18" spans="2:5" s="85" customFormat="1" ht="26.15" customHeight="1" x14ac:dyDescent="0.35">
      <c r="B18" s="72" t="s">
        <v>152</v>
      </c>
      <c r="C18" s="70"/>
      <c r="D18" s="147">
        <v>34</v>
      </c>
      <c r="E18" s="101"/>
    </row>
    <row r="19" spans="2:5" s="85" customFormat="1" ht="26.15" customHeight="1" x14ac:dyDescent="0.35">
      <c r="B19" s="72" t="s">
        <v>153</v>
      </c>
      <c r="C19" s="70"/>
      <c r="D19" s="147">
        <v>725</v>
      </c>
      <c r="E19" s="101"/>
    </row>
    <row r="20" spans="2:5" s="84" customFormat="1" ht="26.15" customHeight="1" x14ac:dyDescent="0.35">
      <c r="B20" s="71" t="s">
        <v>154</v>
      </c>
      <c r="C20" s="86" t="s">
        <v>223</v>
      </c>
      <c r="D20" s="192" t="s">
        <v>186</v>
      </c>
    </row>
    <row r="21" spans="2:5" s="85" customFormat="1" ht="26.15" customHeight="1" x14ac:dyDescent="0.35">
      <c r="B21" s="72" t="s">
        <v>155</v>
      </c>
      <c r="C21" s="95" t="s">
        <v>169</v>
      </c>
      <c r="D21" s="193"/>
    </row>
    <row r="22" spans="2:5" s="85" customFormat="1" ht="26.15" customHeight="1" x14ac:dyDescent="0.35">
      <c r="B22" s="72" t="s">
        <v>156</v>
      </c>
      <c r="C22" s="95" t="s">
        <v>169</v>
      </c>
      <c r="D22" s="194"/>
    </row>
    <row r="23" spans="2:5" s="85" customFormat="1" ht="31" x14ac:dyDescent="0.35">
      <c r="B23" s="71" t="s">
        <v>157</v>
      </c>
      <c r="C23" s="86" t="s">
        <v>126</v>
      </c>
      <c r="D23" s="113">
        <f>IFERROR((D24/D25),"")</f>
        <v>4.3103448275862068E-3</v>
      </c>
    </row>
    <row r="24" spans="2:5" s="85" customFormat="1" ht="26.15" customHeight="1" x14ac:dyDescent="0.35">
      <c r="B24" s="72" t="s">
        <v>158</v>
      </c>
      <c r="C24" s="77"/>
      <c r="D24" s="76">
        <v>1</v>
      </c>
    </row>
    <row r="25" spans="2:5" s="85" customFormat="1" ht="26.15" customHeight="1" x14ac:dyDescent="0.35">
      <c r="B25" s="72" t="s">
        <v>159</v>
      </c>
      <c r="C25" s="77"/>
      <c r="D25" s="76">
        <v>232</v>
      </c>
      <c r="E25" s="140"/>
    </row>
    <row r="26" spans="2:5" s="85" customFormat="1" ht="15.5" x14ac:dyDescent="0.35">
      <c r="B26" s="71" t="s">
        <v>224</v>
      </c>
      <c r="C26" s="77" t="s">
        <v>127</v>
      </c>
      <c r="D26" s="113">
        <f>IFERROR((D27/D28),"")</f>
        <v>1</v>
      </c>
    </row>
    <row r="27" spans="2:5" s="85" customFormat="1" ht="26.15" customHeight="1" x14ac:dyDescent="0.35">
      <c r="B27" s="72" t="s">
        <v>160</v>
      </c>
      <c r="C27" s="77"/>
      <c r="D27" s="126">
        <v>791</v>
      </c>
    </row>
    <row r="28" spans="2:5" s="85" customFormat="1" ht="26.15" customHeight="1" x14ac:dyDescent="0.35">
      <c r="B28" s="72" t="s">
        <v>183</v>
      </c>
      <c r="C28" s="77"/>
      <c r="D28" s="152">
        <f>SUM([1]Produção!D34:D42)</f>
        <v>791</v>
      </c>
      <c r="E28" s="101"/>
    </row>
    <row r="29" spans="2:5" s="85" customFormat="1" ht="37.5" customHeight="1" x14ac:dyDescent="0.35">
      <c r="B29" s="156" t="s">
        <v>225</v>
      </c>
      <c r="C29" s="86" t="s">
        <v>226</v>
      </c>
      <c r="D29" s="113">
        <f>IFERROR((D30/D31),"")</f>
        <v>0.19485294117647059</v>
      </c>
    </row>
    <row r="30" spans="2:5" s="85" customFormat="1" ht="26.15" customHeight="1" x14ac:dyDescent="0.35">
      <c r="B30" s="72" t="s">
        <v>247</v>
      </c>
      <c r="C30" s="77"/>
      <c r="D30" s="147">
        <v>53</v>
      </c>
      <c r="E30" s="101"/>
    </row>
    <row r="31" spans="2:5" s="85" customFormat="1" ht="26.15" customHeight="1" x14ac:dyDescent="0.35">
      <c r="B31" s="72" t="s">
        <v>227</v>
      </c>
      <c r="C31" s="77"/>
      <c r="D31" s="147">
        <v>272</v>
      </c>
    </row>
    <row r="32" spans="2:5" s="85" customFormat="1" ht="31" x14ac:dyDescent="0.35">
      <c r="B32" s="156" t="s">
        <v>228</v>
      </c>
      <c r="C32" s="86" t="s">
        <v>229</v>
      </c>
      <c r="D32" s="197" t="s">
        <v>251</v>
      </c>
    </row>
    <row r="33" spans="2:4" s="85" customFormat="1" ht="26.15" customHeight="1" x14ac:dyDescent="0.35">
      <c r="B33" s="72" t="s">
        <v>247</v>
      </c>
      <c r="C33" s="77"/>
      <c r="D33" s="198"/>
    </row>
    <row r="34" spans="2:4" s="85" customFormat="1" ht="26.15" customHeight="1" x14ac:dyDescent="0.35">
      <c r="B34" s="72" t="s">
        <v>227</v>
      </c>
      <c r="C34" s="77"/>
      <c r="D34" s="199"/>
    </row>
    <row r="35" spans="2:4" s="85" customFormat="1" ht="31" x14ac:dyDescent="0.35">
      <c r="B35" s="156" t="s">
        <v>230</v>
      </c>
      <c r="C35" s="77" t="s">
        <v>233</v>
      </c>
      <c r="D35" s="113">
        <f>IFERROR((D36/D37),"")</f>
        <v>1</v>
      </c>
    </row>
    <row r="36" spans="2:4" s="85" customFormat="1" ht="26.15" customHeight="1" x14ac:dyDescent="0.35">
      <c r="B36" s="72" t="s">
        <v>231</v>
      </c>
      <c r="C36" s="77"/>
      <c r="D36" s="76">
        <v>37</v>
      </c>
    </row>
    <row r="37" spans="2:4" s="85" customFormat="1" ht="26.15" customHeight="1" x14ac:dyDescent="0.35">
      <c r="B37" s="72" t="s">
        <v>232</v>
      </c>
      <c r="C37" s="77"/>
      <c r="D37" s="76">
        <v>37</v>
      </c>
    </row>
    <row r="38" spans="2:4" s="85" customFormat="1" ht="31" x14ac:dyDescent="0.35">
      <c r="B38" s="116" t="s">
        <v>234</v>
      </c>
      <c r="C38" s="77" t="s">
        <v>233</v>
      </c>
      <c r="D38" s="117">
        <f>IFERROR((D39/D40),"")</f>
        <v>1</v>
      </c>
    </row>
    <row r="39" spans="2:4" s="85" customFormat="1" ht="33" customHeight="1" x14ac:dyDescent="0.35">
      <c r="B39" s="157" t="s">
        <v>235</v>
      </c>
      <c r="C39" s="73"/>
      <c r="D39" s="126">
        <v>660</v>
      </c>
    </row>
    <row r="40" spans="2:4" s="85" customFormat="1" ht="26.15" customHeight="1" x14ac:dyDescent="0.35">
      <c r="B40" s="72" t="s">
        <v>236</v>
      </c>
      <c r="C40" s="73"/>
      <c r="D40" s="126">
        <v>660</v>
      </c>
    </row>
    <row r="41" spans="2:4" s="85" customFormat="1" ht="34.5" customHeight="1" x14ac:dyDescent="0.35">
      <c r="B41" s="71" t="s">
        <v>237</v>
      </c>
      <c r="C41" s="77" t="s">
        <v>129</v>
      </c>
      <c r="D41" s="113">
        <f>IFERROR((D42/D43),"")</f>
        <v>0.99400299850074958</v>
      </c>
    </row>
    <row r="42" spans="2:4" s="85" customFormat="1" ht="26.25" customHeight="1" x14ac:dyDescent="0.35">
      <c r="B42" s="72" t="s">
        <v>238</v>
      </c>
      <c r="C42" s="77"/>
      <c r="D42" s="126">
        <v>663</v>
      </c>
    </row>
    <row r="43" spans="2:4" ht="26.25" customHeight="1" x14ac:dyDescent="0.35">
      <c r="B43" s="72" t="s">
        <v>239</v>
      </c>
      <c r="C43" s="77"/>
      <c r="D43" s="152">
        <v>667</v>
      </c>
    </row>
    <row r="44" spans="2:4" ht="33.75" customHeight="1" x14ac:dyDescent="0.35">
      <c r="B44" s="71" t="s">
        <v>240</v>
      </c>
      <c r="C44" s="77" t="s">
        <v>241</v>
      </c>
      <c r="D44" s="113">
        <f>IFERROR((D45/D46),"")</f>
        <v>3.8803513302792555E-3</v>
      </c>
    </row>
    <row r="45" spans="2:4" ht="25.5" customHeight="1" x14ac:dyDescent="0.35">
      <c r="B45" s="72" t="s">
        <v>242</v>
      </c>
      <c r="C45" s="77"/>
      <c r="D45" s="160">
        <v>4088.25</v>
      </c>
    </row>
    <row r="46" spans="2:4" ht="26.25" customHeight="1" x14ac:dyDescent="0.35">
      <c r="B46" s="72" t="s">
        <v>243</v>
      </c>
      <c r="C46" s="77"/>
      <c r="D46" s="160">
        <v>1053577.28</v>
      </c>
    </row>
    <row r="47" spans="2:4" ht="33" customHeight="1" x14ac:dyDescent="0.35">
      <c r="B47" s="156" t="s">
        <v>244</v>
      </c>
      <c r="C47" s="77" t="s">
        <v>219</v>
      </c>
      <c r="D47" s="117">
        <f>IFERROR((D48/D49),"")</f>
        <v>1.0285714285714285</v>
      </c>
    </row>
    <row r="48" spans="2:4" ht="25.5" customHeight="1" x14ac:dyDescent="0.35">
      <c r="B48" s="72" t="s">
        <v>245</v>
      </c>
      <c r="C48" s="73"/>
      <c r="D48" s="126">
        <v>108</v>
      </c>
    </row>
    <row r="49" spans="2:4" ht="25.5" customHeight="1" x14ac:dyDescent="0.35">
      <c r="B49" s="72" t="s">
        <v>246</v>
      </c>
      <c r="C49" s="73"/>
      <c r="D49" s="126">
        <v>105</v>
      </c>
    </row>
    <row r="50" spans="2:4" ht="15.5" x14ac:dyDescent="0.35">
      <c r="B50" s="120"/>
      <c r="C50" s="93"/>
      <c r="D50" s="121"/>
    </row>
    <row r="51" spans="2:4" ht="15.5" x14ac:dyDescent="0.35">
      <c r="B51" s="195" t="s">
        <v>248</v>
      </c>
      <c r="C51" s="195"/>
      <c r="D51" s="195"/>
    </row>
    <row r="52" spans="2:4" x14ac:dyDescent="0.35">
      <c r="B52" s="67"/>
      <c r="C52" s="67"/>
      <c r="D52" s="67"/>
    </row>
    <row r="53" spans="2:4" x14ac:dyDescent="0.35">
      <c r="B53" s="67"/>
      <c r="C53" s="67"/>
      <c r="D53" s="67"/>
    </row>
    <row r="54" spans="2:4" ht="25.5" customHeight="1" x14ac:dyDescent="0.35">
      <c r="B54" s="67"/>
      <c r="C54" s="67"/>
      <c r="D54" s="67"/>
    </row>
    <row r="55" spans="2:4" ht="36.75" customHeight="1" x14ac:dyDescent="0.35">
      <c r="B55" s="67"/>
      <c r="C55" s="67"/>
      <c r="D55" s="67"/>
    </row>
    <row r="56" spans="2:4" ht="15.5" x14ac:dyDescent="0.35">
      <c r="B56" s="196" t="s">
        <v>249</v>
      </c>
      <c r="C56" s="196"/>
      <c r="D56" s="196"/>
    </row>
    <row r="57" spans="2:4" ht="15.5" x14ac:dyDescent="0.35">
      <c r="B57" s="92"/>
      <c r="C57" s="92"/>
      <c r="D57" s="92"/>
    </row>
    <row r="65" spans="2:4" ht="15.5" x14ac:dyDescent="0.35">
      <c r="B65" s="183" t="s">
        <v>187</v>
      </c>
      <c r="C65" s="183"/>
      <c r="D65" s="183"/>
    </row>
    <row r="66" spans="2:4" ht="15.5" x14ac:dyDescent="0.35">
      <c r="B66" s="184" t="s">
        <v>188</v>
      </c>
      <c r="C66" s="184"/>
      <c r="D66" s="184"/>
    </row>
    <row r="67" spans="2:4" ht="15.5" x14ac:dyDescent="0.35">
      <c r="B67" s="184" t="s">
        <v>161</v>
      </c>
      <c r="C67" s="184"/>
      <c r="D67" s="184"/>
    </row>
  </sheetData>
  <mergeCells count="9">
    <mergeCell ref="B67:D67"/>
    <mergeCell ref="B65:D65"/>
    <mergeCell ref="B66:D66"/>
    <mergeCell ref="B2:D2"/>
    <mergeCell ref="B3:D3"/>
    <mergeCell ref="D20:D22"/>
    <mergeCell ref="B51:D51"/>
    <mergeCell ref="B56:D56"/>
    <mergeCell ref="D32:D34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34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4.5" x14ac:dyDescent="0.35"/>
  <cols>
    <col min="1" max="1" width="28" customWidth="1"/>
    <col min="2" max="2" width="14.1796875" customWidth="1"/>
    <col min="3" max="3" width="13.81640625" customWidth="1"/>
    <col min="4" max="4" width="15.81640625" customWidth="1"/>
    <col min="5" max="5" width="18.7265625" customWidth="1"/>
    <col min="6" max="6" width="12.81640625" customWidth="1"/>
    <col min="7" max="7" width="15.81640625" customWidth="1"/>
    <col min="8" max="8" width="21.81640625" customWidth="1"/>
    <col min="9" max="9" width="16.1796875" customWidth="1"/>
    <col min="10" max="10" width="20.7265625" customWidth="1"/>
    <col min="11" max="11" width="14.54296875" customWidth="1"/>
    <col min="12" max="12" width="13.453125" customWidth="1"/>
    <col min="13" max="13" width="15.453125" customWidth="1"/>
    <col min="14" max="14" width="12.81640625" customWidth="1"/>
    <col min="15" max="15" width="11.1796875" bestFit="1" customWidth="1"/>
    <col min="16" max="16" width="12.1796875" customWidth="1"/>
    <col min="17" max="17" width="11.453125" customWidth="1"/>
    <col min="18" max="18" width="10.453125" customWidth="1"/>
    <col min="19" max="19" width="10.54296875" customWidth="1"/>
  </cols>
  <sheetData>
    <row r="2" spans="1:3" x14ac:dyDescent="0.35">
      <c r="A2" s="3" t="s">
        <v>46</v>
      </c>
    </row>
    <row r="4" spans="1:3" x14ac:dyDescent="0.35">
      <c r="A4" s="3" t="s">
        <v>11</v>
      </c>
    </row>
    <row r="6" spans="1:3" x14ac:dyDescent="0.35">
      <c r="A6" t="s">
        <v>12</v>
      </c>
    </row>
    <row r="7" spans="1:3" x14ac:dyDescent="0.35">
      <c r="A7" t="s">
        <v>13</v>
      </c>
    </row>
    <row r="9" spans="1:3" x14ac:dyDescent="0.35">
      <c r="A9" t="s">
        <v>14</v>
      </c>
    </row>
    <row r="10" spans="1:3" x14ac:dyDescent="0.35">
      <c r="A10" t="s">
        <v>15</v>
      </c>
    </row>
    <row r="12" spans="1:3" x14ac:dyDescent="0.35">
      <c r="A12" t="s">
        <v>16</v>
      </c>
    </row>
    <row r="15" spans="1:3" x14ac:dyDescent="0.35">
      <c r="A15" s="224" t="s">
        <v>56</v>
      </c>
      <c r="B15" s="224"/>
      <c r="C15" s="224"/>
    </row>
    <row r="16" spans="1:3" x14ac:dyDescent="0.35">
      <c r="A16" s="221" t="s">
        <v>57</v>
      </c>
      <c r="B16" s="222"/>
      <c r="C16" s="223"/>
    </row>
    <row r="17" spans="1:11" x14ac:dyDescent="0.35">
      <c r="A17" s="215" t="s">
        <v>53</v>
      </c>
      <c r="B17" s="216"/>
      <c r="C17" s="19" t="s">
        <v>58</v>
      </c>
    </row>
    <row r="18" spans="1:11" x14ac:dyDescent="0.35">
      <c r="A18" s="217" t="s">
        <v>54</v>
      </c>
      <c r="B18" s="218"/>
      <c r="C18" s="20" t="s">
        <v>59</v>
      </c>
    </row>
    <row r="19" spans="1:11" x14ac:dyDescent="0.35">
      <c r="A19" s="219" t="s">
        <v>55</v>
      </c>
      <c r="B19" s="220"/>
      <c r="C19" s="21" t="s">
        <v>60</v>
      </c>
    </row>
    <row r="25" spans="1:11" x14ac:dyDescent="0.35">
      <c r="A25" s="3" t="s">
        <v>36</v>
      </c>
      <c r="B25" s="1" t="s">
        <v>0</v>
      </c>
    </row>
    <row r="26" spans="1:11" x14ac:dyDescent="0.35">
      <c r="A26" s="3"/>
      <c r="B26" s="1"/>
    </row>
    <row r="27" spans="1:11" x14ac:dyDescent="0.35">
      <c r="A27" t="s">
        <v>19</v>
      </c>
      <c r="B27" s="1"/>
    </row>
    <row r="28" spans="1:11" x14ac:dyDescent="0.35">
      <c r="A28" s="1" t="s">
        <v>20</v>
      </c>
    </row>
    <row r="29" spans="1:11" x14ac:dyDescent="0.35">
      <c r="A29" s="1" t="s">
        <v>21</v>
      </c>
    </row>
    <row r="30" spans="1:11" x14ac:dyDescent="0.35">
      <c r="A30" s="1"/>
    </row>
    <row r="31" spans="1:11" ht="15" thickBot="1" x14ac:dyDescent="0.4">
      <c r="A31" s="1"/>
      <c r="C31" s="212" t="s">
        <v>47</v>
      </c>
      <c r="D31" s="212"/>
      <c r="E31" s="212"/>
      <c r="F31" s="213" t="s">
        <v>48</v>
      </c>
      <c r="G31" s="213"/>
      <c r="H31" s="213"/>
      <c r="I31" s="214" t="s">
        <v>74</v>
      </c>
      <c r="J31" s="214"/>
      <c r="K31" s="214"/>
    </row>
    <row r="32" spans="1:11" ht="48" customHeight="1" x14ac:dyDescent="0.35">
      <c r="A32" s="12" t="s">
        <v>18</v>
      </c>
      <c r="B32" s="13" t="s">
        <v>7</v>
      </c>
      <c r="C32" s="35" t="s">
        <v>70</v>
      </c>
      <c r="D32" s="36" t="s">
        <v>72</v>
      </c>
      <c r="E32" s="37" t="s">
        <v>71</v>
      </c>
      <c r="F32" s="35" t="s">
        <v>70</v>
      </c>
      <c r="G32" s="36" t="s">
        <v>73</v>
      </c>
      <c r="H32" s="37" t="s">
        <v>71</v>
      </c>
      <c r="I32" s="38" t="s">
        <v>4</v>
      </c>
      <c r="J32" s="38" t="s">
        <v>5</v>
      </c>
      <c r="K32" s="38" t="s">
        <v>6</v>
      </c>
    </row>
    <row r="33" spans="1:12" x14ac:dyDescent="0.35">
      <c r="A33" s="10">
        <v>44197</v>
      </c>
      <c r="B33" s="5">
        <v>31</v>
      </c>
      <c r="C33" s="24"/>
      <c r="D33" s="27">
        <f t="shared" ref="D33:D39" si="0">80*B33</f>
        <v>2480</v>
      </c>
      <c r="E33" s="24"/>
      <c r="F33" s="22"/>
      <c r="G33" s="7">
        <f t="shared" ref="G33:G41" si="1">100*B33</f>
        <v>3100</v>
      </c>
      <c r="H33" s="8"/>
      <c r="I33" s="39">
        <v>3285</v>
      </c>
      <c r="J33" s="34">
        <f>180*31</f>
        <v>5580</v>
      </c>
      <c r="K33" s="42">
        <f>(I33/J33)</f>
        <v>0.58870967741935487</v>
      </c>
      <c r="L33" s="15">
        <f>D33+G33-J33</f>
        <v>0</v>
      </c>
    </row>
    <row r="34" spans="1:12" x14ac:dyDescent="0.35">
      <c r="A34" s="10">
        <v>44228</v>
      </c>
      <c r="B34" s="5">
        <v>28</v>
      </c>
      <c r="C34" s="22"/>
      <c r="D34" s="27">
        <f t="shared" si="0"/>
        <v>2240</v>
      </c>
      <c r="E34" s="22"/>
      <c r="F34" s="22"/>
      <c r="G34" s="7">
        <f t="shared" si="1"/>
        <v>2800</v>
      </c>
      <c r="H34" s="8"/>
      <c r="I34" s="40">
        <v>4463</v>
      </c>
      <c r="J34" s="33">
        <f t="shared" ref="J34:J39" si="2">180*B34</f>
        <v>5040</v>
      </c>
      <c r="K34" s="43">
        <f t="shared" ref="K34:K41" si="3">(I34/J34)</f>
        <v>0.88551587301587298</v>
      </c>
      <c r="L34" s="15">
        <f t="shared" ref="L34:L40" si="4">D34+G34-J34</f>
        <v>0</v>
      </c>
    </row>
    <row r="35" spans="1:12" x14ac:dyDescent="0.35">
      <c r="A35" s="10">
        <v>44256</v>
      </c>
      <c r="B35" s="5">
        <v>31</v>
      </c>
      <c r="C35" s="22"/>
      <c r="D35" s="27">
        <f t="shared" si="0"/>
        <v>2480</v>
      </c>
      <c r="E35" s="22"/>
      <c r="F35" s="22"/>
      <c r="G35" s="7">
        <f t="shared" si="1"/>
        <v>3100</v>
      </c>
      <c r="H35" s="8"/>
      <c r="I35" s="40">
        <v>5246</v>
      </c>
      <c r="J35" s="33">
        <f t="shared" si="2"/>
        <v>5580</v>
      </c>
      <c r="K35" s="43">
        <f t="shared" si="3"/>
        <v>0.94014336917562724</v>
      </c>
      <c r="L35" s="15">
        <f t="shared" si="4"/>
        <v>0</v>
      </c>
    </row>
    <row r="36" spans="1:12" x14ac:dyDescent="0.35">
      <c r="A36" s="10">
        <v>44287</v>
      </c>
      <c r="B36" s="5">
        <v>30</v>
      </c>
      <c r="C36" s="27">
        <v>2039</v>
      </c>
      <c r="D36" s="27">
        <f t="shared" si="0"/>
        <v>2400</v>
      </c>
      <c r="E36" s="29">
        <f t="shared" ref="E36:E41" si="5">(C36/D36)</f>
        <v>0.84958333333333336</v>
      </c>
      <c r="F36" s="27">
        <v>2741</v>
      </c>
      <c r="G36" s="7">
        <f t="shared" si="1"/>
        <v>3000</v>
      </c>
      <c r="H36" s="30">
        <f t="shared" ref="H36:H41" si="6">(F36/G36)</f>
        <v>0.91366666666666663</v>
      </c>
      <c r="I36" s="40">
        <v>4780</v>
      </c>
      <c r="J36" s="33">
        <f t="shared" si="2"/>
        <v>5400</v>
      </c>
      <c r="K36" s="43">
        <f>(I36/J36)</f>
        <v>0.88518518518518519</v>
      </c>
      <c r="L36" s="15">
        <f t="shared" si="4"/>
        <v>0</v>
      </c>
    </row>
    <row r="37" spans="1:12" x14ac:dyDescent="0.35">
      <c r="A37" s="10">
        <v>44317</v>
      </c>
      <c r="B37" s="5">
        <v>31</v>
      </c>
      <c r="C37" s="27">
        <v>2156</v>
      </c>
      <c r="D37" s="27">
        <f t="shared" si="0"/>
        <v>2480</v>
      </c>
      <c r="E37" s="29">
        <f t="shared" si="5"/>
        <v>0.86935483870967745</v>
      </c>
      <c r="F37" s="27">
        <v>2695</v>
      </c>
      <c r="G37" s="7">
        <f t="shared" si="1"/>
        <v>3100</v>
      </c>
      <c r="H37" s="30">
        <f t="shared" si="6"/>
        <v>0.86935483870967745</v>
      </c>
      <c r="I37" s="40">
        <v>4851</v>
      </c>
      <c r="J37" s="33">
        <f t="shared" si="2"/>
        <v>5580</v>
      </c>
      <c r="K37" s="43">
        <f t="shared" si="3"/>
        <v>0.86935483870967745</v>
      </c>
      <c r="L37" s="15">
        <f t="shared" si="4"/>
        <v>0</v>
      </c>
    </row>
    <row r="38" spans="1:12" x14ac:dyDescent="0.35">
      <c r="A38" s="10">
        <v>44348</v>
      </c>
      <c r="B38" s="5">
        <v>30</v>
      </c>
      <c r="C38" s="27">
        <v>2113</v>
      </c>
      <c r="D38" s="27">
        <f t="shared" si="0"/>
        <v>2400</v>
      </c>
      <c r="E38" s="29">
        <f t="shared" si="5"/>
        <v>0.88041666666666663</v>
      </c>
      <c r="F38" s="27">
        <v>2694</v>
      </c>
      <c r="G38" s="7">
        <f t="shared" si="1"/>
        <v>3000</v>
      </c>
      <c r="H38" s="30">
        <f t="shared" si="6"/>
        <v>0.89800000000000002</v>
      </c>
      <c r="I38" s="40">
        <v>4807</v>
      </c>
      <c r="J38" s="33">
        <f t="shared" si="2"/>
        <v>5400</v>
      </c>
      <c r="K38" s="43">
        <f t="shared" si="3"/>
        <v>0.89018518518518519</v>
      </c>
      <c r="L38" s="15">
        <f t="shared" si="4"/>
        <v>0</v>
      </c>
    </row>
    <row r="39" spans="1:12" x14ac:dyDescent="0.35">
      <c r="A39" s="10">
        <v>44378</v>
      </c>
      <c r="B39" s="5">
        <v>31</v>
      </c>
      <c r="C39" s="27">
        <v>2177</v>
      </c>
      <c r="D39" s="27">
        <f t="shared" si="0"/>
        <v>2480</v>
      </c>
      <c r="E39" s="29">
        <f t="shared" si="5"/>
        <v>0.87782258064516128</v>
      </c>
      <c r="F39" s="27">
        <v>2820</v>
      </c>
      <c r="G39" s="7">
        <f t="shared" si="1"/>
        <v>3100</v>
      </c>
      <c r="H39" s="30">
        <f t="shared" si="6"/>
        <v>0.9096774193548387</v>
      </c>
      <c r="I39" s="41">
        <v>4997</v>
      </c>
      <c r="J39" s="33">
        <f t="shared" si="2"/>
        <v>5580</v>
      </c>
      <c r="K39" s="43">
        <f t="shared" si="3"/>
        <v>0.8955197132616487</v>
      </c>
      <c r="L39" s="15">
        <f t="shared" si="4"/>
        <v>0</v>
      </c>
    </row>
    <row r="40" spans="1:12" x14ac:dyDescent="0.35">
      <c r="A40" s="10">
        <v>44409</v>
      </c>
      <c r="B40" s="5">
        <v>31</v>
      </c>
      <c r="C40" s="27">
        <v>1876</v>
      </c>
      <c r="D40" s="27">
        <f>78*B40</f>
        <v>2418</v>
      </c>
      <c r="E40" s="29">
        <f t="shared" si="5"/>
        <v>0.77584780810587262</v>
      </c>
      <c r="F40" s="27">
        <v>2603</v>
      </c>
      <c r="G40" s="7">
        <f t="shared" si="1"/>
        <v>3100</v>
      </c>
      <c r="H40" s="30">
        <f t="shared" si="6"/>
        <v>0.83967741935483875</v>
      </c>
      <c r="I40" s="40">
        <v>4479</v>
      </c>
      <c r="J40" s="33">
        <f>178*B40</f>
        <v>5518</v>
      </c>
      <c r="K40" s="43">
        <f>(I40/J40)</f>
        <v>0.81170714026821311</v>
      </c>
      <c r="L40" s="15">
        <f t="shared" si="4"/>
        <v>0</v>
      </c>
    </row>
    <row r="41" spans="1:12" x14ac:dyDescent="0.35">
      <c r="A41" s="10">
        <v>44440</v>
      </c>
      <c r="B41" s="5">
        <v>30</v>
      </c>
      <c r="C41" s="27">
        <v>1075</v>
      </c>
      <c r="D41" s="27">
        <f>78*B41</f>
        <v>2340</v>
      </c>
      <c r="E41" s="29">
        <f t="shared" si="5"/>
        <v>0.45940170940170938</v>
      </c>
      <c r="F41" s="27">
        <v>1318</v>
      </c>
      <c r="G41" s="7">
        <f t="shared" si="1"/>
        <v>3000</v>
      </c>
      <c r="H41" s="30">
        <f t="shared" si="6"/>
        <v>0.43933333333333335</v>
      </c>
      <c r="I41" s="40">
        <v>2393</v>
      </c>
      <c r="J41" s="33">
        <f>178*B41</f>
        <v>5340</v>
      </c>
      <c r="K41" s="43">
        <f t="shared" si="3"/>
        <v>0.44812734082397004</v>
      </c>
      <c r="L41" s="15">
        <f>D41+G41-J41</f>
        <v>0</v>
      </c>
    </row>
    <row r="42" spans="1:12" x14ac:dyDescent="0.35">
      <c r="A42" s="10">
        <v>44470</v>
      </c>
      <c r="B42" s="5">
        <v>31</v>
      </c>
      <c r="C42" s="22"/>
      <c r="D42" s="22"/>
      <c r="E42" s="22"/>
      <c r="F42" s="22"/>
      <c r="G42" s="44"/>
      <c r="H42" s="8"/>
      <c r="I42" s="22"/>
      <c r="K42" s="22"/>
    </row>
    <row r="43" spans="1:12" x14ac:dyDescent="0.35">
      <c r="A43" s="10">
        <v>44501</v>
      </c>
      <c r="B43" s="5">
        <v>30</v>
      </c>
      <c r="C43" s="22"/>
      <c r="D43" s="22"/>
      <c r="E43" s="22"/>
      <c r="F43" s="22"/>
      <c r="G43" s="44"/>
      <c r="H43" s="8"/>
      <c r="I43" s="22"/>
      <c r="K43" s="22"/>
    </row>
    <row r="44" spans="1:12" x14ac:dyDescent="0.35">
      <c r="A44" s="10">
        <v>44531</v>
      </c>
      <c r="B44" s="5">
        <v>31</v>
      </c>
      <c r="C44" s="22"/>
      <c r="D44" s="22"/>
      <c r="E44" s="22"/>
      <c r="F44" s="22"/>
      <c r="G44" s="44"/>
      <c r="H44" s="8"/>
      <c r="I44" s="22"/>
      <c r="K44" s="22"/>
    </row>
    <row r="45" spans="1:12" ht="15" thickBot="1" x14ac:dyDescent="0.4">
      <c r="A45" s="6"/>
      <c r="B45" s="11"/>
      <c r="C45" s="25">
        <f>SUM(C36:C41)</f>
        <v>11436</v>
      </c>
      <c r="D45" s="26">
        <f>SUM(D36:D41)</f>
        <v>14518</v>
      </c>
      <c r="E45" s="28">
        <f>C45/D45</f>
        <v>0.78771180603388902</v>
      </c>
      <c r="F45" s="25">
        <f>SUM(F36:F41)</f>
        <v>14871</v>
      </c>
      <c r="G45" s="26">
        <f>SUM(G36:G41)</f>
        <v>18300</v>
      </c>
      <c r="H45" s="31">
        <f>F45/G45</f>
        <v>0.81262295081967217</v>
      </c>
      <c r="I45" s="23"/>
      <c r="J45" s="9"/>
      <c r="K45" s="23"/>
    </row>
    <row r="49" spans="1:14" x14ac:dyDescent="0.35">
      <c r="A49" s="17" t="s">
        <v>61</v>
      </c>
      <c r="B49" s="18" t="s">
        <v>75</v>
      </c>
      <c r="C49" s="18" t="s">
        <v>76</v>
      </c>
      <c r="D49" s="18" t="s">
        <v>77</v>
      </c>
      <c r="E49" s="18" t="s">
        <v>78</v>
      </c>
      <c r="F49" s="18" t="s">
        <v>79</v>
      </c>
      <c r="G49" s="18" t="s">
        <v>80</v>
      </c>
      <c r="H49" s="18" t="s">
        <v>62</v>
      </c>
      <c r="I49" s="18" t="s">
        <v>63</v>
      </c>
      <c r="J49" s="18" t="s">
        <v>64</v>
      </c>
      <c r="K49" s="18" t="s">
        <v>66</v>
      </c>
      <c r="L49" s="18" t="s">
        <v>67</v>
      </c>
      <c r="M49" s="18" t="s">
        <v>68</v>
      </c>
      <c r="N49" s="18" t="s">
        <v>49</v>
      </c>
    </row>
    <row r="50" spans="1:14" x14ac:dyDescent="0.35">
      <c r="A50" s="3" t="s">
        <v>47</v>
      </c>
      <c r="B50">
        <f>E33</f>
        <v>0</v>
      </c>
      <c r="C50">
        <f>E34</f>
        <v>0</v>
      </c>
      <c r="D50">
        <f>E35</f>
        <v>0</v>
      </c>
      <c r="E50" s="45">
        <f>E36</f>
        <v>0.84958333333333336</v>
      </c>
      <c r="F50" s="45">
        <f>E37</f>
        <v>0.86935483870967745</v>
      </c>
      <c r="G50" s="45">
        <f>E38</f>
        <v>0.88041666666666663</v>
      </c>
      <c r="H50" s="45">
        <f>E39</f>
        <v>0.87782258064516128</v>
      </c>
      <c r="I50" s="45">
        <f>E40</f>
        <v>0.77584780810587262</v>
      </c>
      <c r="J50" s="45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5">
        <f>SUM(C33:C44)/SUM(D33:D44)</f>
        <v>0.52656782392485491</v>
      </c>
    </row>
    <row r="51" spans="1:14" x14ac:dyDescent="0.35">
      <c r="A51" s="3" t="s">
        <v>48</v>
      </c>
      <c r="B51">
        <f>H33</f>
        <v>0</v>
      </c>
      <c r="C51">
        <f>H34</f>
        <v>0</v>
      </c>
      <c r="D51">
        <f>H35</f>
        <v>0</v>
      </c>
      <c r="E51" s="45">
        <f>H36</f>
        <v>0.91366666666666663</v>
      </c>
      <c r="F51" s="45">
        <f>H37</f>
        <v>0.86935483870967745</v>
      </c>
      <c r="G51" s="45">
        <f>H38</f>
        <v>0.89800000000000002</v>
      </c>
      <c r="H51" s="45">
        <f>H39</f>
        <v>0.9096774193548387</v>
      </c>
      <c r="I51" s="45">
        <f>H40</f>
        <v>0.83967741935483875</v>
      </c>
      <c r="J51" s="45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5">
        <f>SUM(F33:F44)/SUM(G33:G44)</f>
        <v>0.54472527472527477</v>
      </c>
    </row>
    <row r="52" spans="1:14" x14ac:dyDescent="0.35">
      <c r="A52" s="3" t="s">
        <v>69</v>
      </c>
      <c r="B52" s="46">
        <f>K33</f>
        <v>0.58870967741935487</v>
      </c>
      <c r="C52" s="46">
        <f>K34</f>
        <v>0.88551587301587298</v>
      </c>
      <c r="D52" s="46">
        <f>K35</f>
        <v>0.94014336917562724</v>
      </c>
      <c r="E52" s="46">
        <f>K36</f>
        <v>0.88518518518518519</v>
      </c>
      <c r="F52" s="46">
        <f>K37</f>
        <v>0.86935483870967745</v>
      </c>
      <c r="G52" s="46">
        <f>K38</f>
        <v>0.89018518518518519</v>
      </c>
      <c r="H52" s="46">
        <f>K39</f>
        <v>0.8955197132616487</v>
      </c>
      <c r="I52" s="46">
        <f>K40</f>
        <v>0.81170714026821311</v>
      </c>
      <c r="J52" s="46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5">
        <f>SUM(I33:I45)/SUM(J33:J45)</f>
        <v>0.80176669794769273</v>
      </c>
    </row>
    <row r="53" spans="1:14" x14ac:dyDescent="0.35">
      <c r="A53" s="2" t="s">
        <v>50</v>
      </c>
    </row>
    <row r="54" spans="1:14" x14ac:dyDescent="0.35">
      <c r="A54" s="3"/>
    </row>
    <row r="55" spans="1:14" x14ac:dyDescent="0.35">
      <c r="A55" s="3"/>
    </row>
    <row r="56" spans="1:14" x14ac:dyDescent="0.35">
      <c r="B56" s="209" t="s">
        <v>82</v>
      </c>
      <c r="C56" s="210"/>
      <c r="D56" s="210"/>
      <c r="E56" s="211"/>
      <c r="I56" s="200" t="s">
        <v>83</v>
      </c>
      <c r="J56" s="201"/>
      <c r="K56" s="201"/>
      <c r="L56" s="202"/>
    </row>
    <row r="57" spans="1:14" ht="29" x14ac:dyDescent="0.35">
      <c r="A57" s="54" t="s">
        <v>61</v>
      </c>
      <c r="B57" s="18" t="s">
        <v>75</v>
      </c>
      <c r="C57" s="18" t="s">
        <v>76</v>
      </c>
      <c r="D57" s="18" t="s">
        <v>77</v>
      </c>
      <c r="E57" s="18" t="s">
        <v>65</v>
      </c>
      <c r="H57" s="54" t="s">
        <v>61</v>
      </c>
      <c r="I57" s="18" t="s">
        <v>62</v>
      </c>
      <c r="J57" s="18" t="s">
        <v>63</v>
      </c>
      <c r="K57" s="18" t="s">
        <v>64</v>
      </c>
      <c r="L57" s="18" t="s">
        <v>65</v>
      </c>
    </row>
    <row r="58" spans="1:14" x14ac:dyDescent="0.35">
      <c r="A58" s="55" t="s">
        <v>47</v>
      </c>
      <c r="B58" s="47">
        <f t="shared" ref="B58:D60" si="7">B50</f>
        <v>0</v>
      </c>
      <c r="C58" s="47">
        <f t="shared" si="7"/>
        <v>0</v>
      </c>
      <c r="D58" s="47">
        <f t="shared" si="7"/>
        <v>0</v>
      </c>
      <c r="E58" s="16">
        <f>IFERROR(SUM(C33:C35)/SUM(D33:D35),"")</f>
        <v>0</v>
      </c>
      <c r="H58" s="55" t="s">
        <v>47</v>
      </c>
      <c r="I58" s="47">
        <f t="shared" ref="I58:K60" si="8">H50</f>
        <v>0.87782258064516128</v>
      </c>
      <c r="J58" s="47">
        <f t="shared" si="8"/>
        <v>0.77584780810587262</v>
      </c>
      <c r="K58" s="47">
        <f t="shared" si="8"/>
        <v>0.45940170940170938</v>
      </c>
      <c r="L58" s="52">
        <f>IFERROR(SUM(C39:C41)/SUM(D39:D41),"")</f>
        <v>0.70848300635534678</v>
      </c>
    </row>
    <row r="59" spans="1:14" x14ac:dyDescent="0.35">
      <c r="A59" s="56" t="s">
        <v>48</v>
      </c>
      <c r="B59">
        <f t="shared" si="7"/>
        <v>0</v>
      </c>
      <c r="C59">
        <f t="shared" si="7"/>
        <v>0</v>
      </c>
      <c r="D59">
        <f t="shared" si="7"/>
        <v>0</v>
      </c>
      <c r="E59" s="32">
        <f>IFERROR(SUM(F33:F35)/SUM(G33:G35),"")</f>
        <v>0</v>
      </c>
      <c r="H59" s="56" t="s">
        <v>48</v>
      </c>
      <c r="I59" s="47">
        <f t="shared" si="8"/>
        <v>0.9096774193548387</v>
      </c>
      <c r="J59" s="47">
        <f t="shared" si="8"/>
        <v>0.83967741935483875</v>
      </c>
      <c r="K59" s="47">
        <f t="shared" si="8"/>
        <v>0.43933333333333335</v>
      </c>
      <c r="L59" s="53">
        <f>IFERROR(SUM(F39:F41)/SUM(G39:G41),"")</f>
        <v>0.73271739130434788</v>
      </c>
    </row>
    <row r="60" spans="1:14" x14ac:dyDescent="0.35">
      <c r="A60" s="57" t="s">
        <v>69</v>
      </c>
      <c r="B60" s="46">
        <f t="shared" si="7"/>
        <v>0.58870967741935487</v>
      </c>
      <c r="C60" s="46">
        <f t="shared" si="7"/>
        <v>0.88551587301587298</v>
      </c>
      <c r="D60" s="46">
        <f t="shared" si="7"/>
        <v>0.94014336917562724</v>
      </c>
      <c r="E60" s="46">
        <f>IFERROR(SUM(I33:I35)/SUM(J33:J35),"")</f>
        <v>0.80209876543209879</v>
      </c>
      <c r="H60" s="57" t="s">
        <v>69</v>
      </c>
      <c r="I60" s="46">
        <f t="shared" si="8"/>
        <v>0.8955197132616487</v>
      </c>
      <c r="J60" s="46">
        <f t="shared" si="8"/>
        <v>0.81170714026821311</v>
      </c>
      <c r="K60" s="46">
        <f t="shared" si="8"/>
        <v>0.44812734082397004</v>
      </c>
      <c r="L60" s="50">
        <f>IFERROR(SUM(I39:I41)/SUM(J39:J41),"")</f>
        <v>0.72204647767368291</v>
      </c>
    </row>
    <row r="63" spans="1:14" x14ac:dyDescent="0.35">
      <c r="B63" s="206" t="s">
        <v>81</v>
      </c>
      <c r="C63" s="207"/>
      <c r="D63" s="207"/>
      <c r="E63" s="208"/>
      <c r="I63" s="203" t="s">
        <v>84</v>
      </c>
      <c r="J63" s="204"/>
      <c r="K63" s="204"/>
      <c r="L63" s="205"/>
    </row>
    <row r="64" spans="1:14" ht="29" x14ac:dyDescent="0.35">
      <c r="A64" s="54" t="s">
        <v>61</v>
      </c>
      <c r="B64" s="18" t="s">
        <v>78</v>
      </c>
      <c r="C64" s="18" t="s">
        <v>79</v>
      </c>
      <c r="D64" s="18" t="s">
        <v>80</v>
      </c>
      <c r="E64" s="18" t="s">
        <v>65</v>
      </c>
      <c r="H64" s="54" t="s">
        <v>61</v>
      </c>
      <c r="I64" s="48" t="s">
        <v>66</v>
      </c>
      <c r="J64" s="49" t="s">
        <v>67</v>
      </c>
      <c r="K64" s="18" t="s">
        <v>68</v>
      </c>
      <c r="L64" s="51" t="s">
        <v>65</v>
      </c>
    </row>
    <row r="65" spans="1:12" x14ac:dyDescent="0.35">
      <c r="A65" s="55" t="s">
        <v>47</v>
      </c>
      <c r="B65" s="47">
        <f t="shared" ref="B65:D67" si="9">E50</f>
        <v>0.84958333333333336</v>
      </c>
      <c r="C65" s="47">
        <f t="shared" si="9"/>
        <v>0.86935483870967745</v>
      </c>
      <c r="D65" s="47">
        <f t="shared" si="9"/>
        <v>0.88041666666666663</v>
      </c>
      <c r="E65" s="16">
        <f>IFERROR(SUM(C36:C38)/SUM(D36:D38),"")</f>
        <v>0.86648351648351651</v>
      </c>
      <c r="H65" s="55" t="s">
        <v>47</v>
      </c>
      <c r="I65" s="58">
        <f t="shared" ref="I65:K67" si="10">K50</f>
        <v>0</v>
      </c>
      <c r="J65" s="59">
        <f t="shared" si="10"/>
        <v>0</v>
      </c>
      <c r="K65" s="60">
        <f t="shared" si="10"/>
        <v>0</v>
      </c>
      <c r="L65" s="52" t="str">
        <f>IFERROR(SUM(C42:C44)/SUM(D42:D44),"")</f>
        <v/>
      </c>
    </row>
    <row r="66" spans="1:12" x14ac:dyDescent="0.35">
      <c r="A66" s="56" t="s">
        <v>48</v>
      </c>
      <c r="B66" s="47">
        <f t="shared" si="9"/>
        <v>0.91366666666666663</v>
      </c>
      <c r="C66" s="47">
        <f t="shared" si="9"/>
        <v>0.86935483870967745</v>
      </c>
      <c r="D66" s="47">
        <f t="shared" si="9"/>
        <v>0.89800000000000002</v>
      </c>
      <c r="E66" s="32">
        <f>IFERROR(SUM(F36:F38)/SUM(G36:G38),"")</f>
        <v>0.89340659340659345</v>
      </c>
      <c r="H66" s="56" t="s">
        <v>48</v>
      </c>
      <c r="I66" s="61">
        <f t="shared" si="10"/>
        <v>0</v>
      </c>
      <c r="J66" s="62">
        <f t="shared" si="10"/>
        <v>0</v>
      </c>
      <c r="K66" s="63">
        <f t="shared" si="10"/>
        <v>0</v>
      </c>
      <c r="L66" s="53" t="str">
        <f>IFERROR(SUM(F42:F44)/SUM(G42:G44),"")</f>
        <v/>
      </c>
    </row>
    <row r="67" spans="1:12" x14ac:dyDescent="0.35">
      <c r="A67" s="57" t="s">
        <v>69</v>
      </c>
      <c r="B67" s="46">
        <f t="shared" si="9"/>
        <v>0.88518518518518519</v>
      </c>
      <c r="C67" s="46">
        <f t="shared" si="9"/>
        <v>0.86935483870967745</v>
      </c>
      <c r="D67" s="46">
        <f t="shared" si="9"/>
        <v>0.89018518518518519</v>
      </c>
      <c r="E67" s="16">
        <f>IFERROR(SUM(I36:I38)/SUM(J36:J38),"")</f>
        <v>0.88144078144078142</v>
      </c>
      <c r="H67" s="57" t="s">
        <v>69</v>
      </c>
      <c r="I67" s="64">
        <f t="shared" si="10"/>
        <v>0</v>
      </c>
      <c r="J67" s="65">
        <f t="shared" si="10"/>
        <v>0</v>
      </c>
      <c r="K67" s="66">
        <f t="shared" si="10"/>
        <v>0</v>
      </c>
      <c r="L67" s="50" t="str">
        <f>IFERROR(SUM(I42:I44)/SUM(J42:J44),"")</f>
        <v/>
      </c>
    </row>
    <row r="72" spans="1:12" x14ac:dyDescent="0.35">
      <c r="A72" s="3" t="s">
        <v>22</v>
      </c>
    </row>
    <row r="74" spans="1:12" x14ac:dyDescent="0.35">
      <c r="A74" t="s">
        <v>23</v>
      </c>
    </row>
    <row r="75" spans="1:12" x14ac:dyDescent="0.35">
      <c r="A75" t="s">
        <v>8</v>
      </c>
    </row>
    <row r="77" spans="1:12" x14ac:dyDescent="0.35">
      <c r="A77" t="s">
        <v>9</v>
      </c>
    </row>
    <row r="78" spans="1:12" x14ac:dyDescent="0.35">
      <c r="A78" t="s">
        <v>10</v>
      </c>
    </row>
    <row r="84" spans="1:3" x14ac:dyDescent="0.35">
      <c r="A84" s="3" t="s">
        <v>37</v>
      </c>
      <c r="C84" t="s">
        <v>24</v>
      </c>
    </row>
    <row r="85" spans="1:3" x14ac:dyDescent="0.35">
      <c r="A85" s="3"/>
    </row>
    <row r="86" spans="1:3" x14ac:dyDescent="0.35">
      <c r="A86" t="s">
        <v>25</v>
      </c>
    </row>
    <row r="87" spans="1:3" x14ac:dyDescent="0.35">
      <c r="A87" t="s">
        <v>26</v>
      </c>
    </row>
    <row r="88" spans="1:3" x14ac:dyDescent="0.35">
      <c r="A88" t="s">
        <v>27</v>
      </c>
    </row>
    <row r="89" spans="1:3" x14ac:dyDescent="0.35">
      <c r="A89" t="s">
        <v>28</v>
      </c>
    </row>
    <row r="105" spans="1:1" x14ac:dyDescent="0.35">
      <c r="A105" s="3" t="s">
        <v>22</v>
      </c>
    </row>
    <row r="106" spans="1:1" x14ac:dyDescent="0.35">
      <c r="A106" t="s">
        <v>29</v>
      </c>
    </row>
    <row r="107" spans="1:1" x14ac:dyDescent="0.35">
      <c r="A107" t="s">
        <v>30</v>
      </c>
    </row>
    <row r="109" spans="1:1" x14ac:dyDescent="0.35">
      <c r="A109" t="s">
        <v>85</v>
      </c>
    </row>
    <row r="110" spans="1:1" x14ac:dyDescent="0.35">
      <c r="A110" t="s">
        <v>86</v>
      </c>
    </row>
    <row r="112" spans="1:1" x14ac:dyDescent="0.35">
      <c r="A112" t="s">
        <v>87</v>
      </c>
    </row>
    <row r="113" spans="1:1" x14ac:dyDescent="0.35">
      <c r="A113" t="s">
        <v>88</v>
      </c>
    </row>
    <row r="115" spans="1:1" x14ac:dyDescent="0.35">
      <c r="A115" s="2" t="s">
        <v>31</v>
      </c>
    </row>
    <row r="117" spans="1:1" x14ac:dyDescent="0.35">
      <c r="A117" t="s">
        <v>32</v>
      </c>
    </row>
    <row r="119" spans="1:1" x14ac:dyDescent="0.35">
      <c r="A119" s="2" t="s">
        <v>89</v>
      </c>
    </row>
    <row r="121" spans="1:1" x14ac:dyDescent="0.35">
      <c r="A121" t="s">
        <v>33</v>
      </c>
    </row>
    <row r="122" spans="1:1" x14ac:dyDescent="0.35">
      <c r="A122" t="s">
        <v>34</v>
      </c>
    </row>
    <row r="124" spans="1:1" x14ac:dyDescent="0.35">
      <c r="A124" t="s">
        <v>35</v>
      </c>
    </row>
    <row r="130" spans="1:6" x14ac:dyDescent="0.35">
      <c r="A130" s="3" t="s">
        <v>38</v>
      </c>
      <c r="F130" t="s">
        <v>42</v>
      </c>
    </row>
    <row r="132" spans="1:6" x14ac:dyDescent="0.35">
      <c r="A132" t="s">
        <v>39</v>
      </c>
    </row>
    <row r="133" spans="1:6" x14ac:dyDescent="0.35">
      <c r="A133" t="s">
        <v>40</v>
      </c>
    </row>
    <row r="134" spans="1:6" x14ac:dyDescent="0.35">
      <c r="A134" t="s">
        <v>41</v>
      </c>
    </row>
    <row r="150" spans="1:1" x14ac:dyDescent="0.35">
      <c r="A150" s="3" t="s">
        <v>22</v>
      </c>
    </row>
    <row r="151" spans="1:1" x14ac:dyDescent="0.35">
      <c r="A151" s="14" t="s">
        <v>43</v>
      </c>
    </row>
    <row r="152" spans="1:1" x14ac:dyDescent="0.35">
      <c r="A152" s="14" t="s">
        <v>44</v>
      </c>
    </row>
    <row r="153" spans="1:1" x14ac:dyDescent="0.35">
      <c r="A153" s="14" t="s">
        <v>45</v>
      </c>
    </row>
  </sheetData>
  <mergeCells count="12">
    <mergeCell ref="A17:B17"/>
    <mergeCell ref="A18:B18"/>
    <mergeCell ref="A19:B19"/>
    <mergeCell ref="A16:C16"/>
    <mergeCell ref="A15:C15"/>
    <mergeCell ref="I56:L56"/>
    <mergeCell ref="I63:L63"/>
    <mergeCell ref="B63:E63"/>
    <mergeCell ref="B56:E56"/>
    <mergeCell ref="C31:E31"/>
    <mergeCell ref="F31:H31"/>
    <mergeCell ref="I31:K3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F3"/>
  <sheetViews>
    <sheetView showGridLines="0" workbookViewId="0">
      <selection activeCell="O23" sqref="O23"/>
    </sheetView>
  </sheetViews>
  <sheetFormatPr defaultRowHeight="14.5" x14ac:dyDescent="0.35"/>
  <cols>
    <col min="2" max="2" width="9.1796875" customWidth="1"/>
  </cols>
  <sheetData>
    <row r="1" spans="1:6" x14ac:dyDescent="0.35">
      <c r="A1" t="s">
        <v>2</v>
      </c>
      <c r="B1" s="225" t="s">
        <v>3</v>
      </c>
      <c r="C1" s="225"/>
      <c r="D1" s="225"/>
      <c r="E1" s="225"/>
      <c r="F1" s="225"/>
    </row>
    <row r="3" spans="1:6" x14ac:dyDescent="0.35">
      <c r="A3" s="4" t="s">
        <v>1</v>
      </c>
    </row>
  </sheetData>
  <mergeCells count="1">
    <mergeCell ref="B1:F1"/>
  </mergeCells>
  <hyperlinks>
    <hyperlink ref="A3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Produção</vt:lpstr>
      <vt:lpstr>Indicadores de Desempenho</vt:lpstr>
      <vt:lpstr>Indicadores e Metas de Qualidad</vt:lpstr>
      <vt:lpstr>TMP_UTIs Brasil</vt:lpstr>
      <vt:lpstr>'Indicadores de Desempenho'!Area_de_impressao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Setorial</cp:lastModifiedBy>
  <cp:lastPrinted>2024-09-18T19:42:10Z</cp:lastPrinted>
  <dcterms:created xsi:type="dcterms:W3CDTF">2021-12-03T19:01:33Z</dcterms:created>
  <dcterms:modified xsi:type="dcterms:W3CDTF">2024-10-18T13:10:57Z</dcterms:modified>
</cp:coreProperties>
</file>